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drea\Desktop\Планови јавних набавки и измене\План јавних набавки и набавки за 2022. године\"/>
    </mc:Choice>
  </mc:AlternateContent>
  <bookViews>
    <workbookView xWindow="0" yWindow="0" windowWidth="28800" windowHeight="12990" tabRatio="947" firstSheet="2" activeTab="2"/>
  </bookViews>
  <sheets>
    <sheet name="note" sheetId="23" state="hidden" r:id="rId1"/>
    <sheet name="Graphs Data" sheetId="7" state="hidden" r:id="rId2"/>
    <sheet name="plan j nabavki" sheetId="36" r:id="rId3"/>
    <sheet name="nabavke na koje se ne pri ZJN" sheetId="38" r:id="rId4"/>
  </sheets>
  <externalReferences>
    <externalReference r:id="rId5"/>
    <externalReference r:id="rId6"/>
  </externalReferences>
  <definedNames>
    <definedName name="AS2DocOpenMode" hidden="1">"AS2DocumentEdit"</definedName>
    <definedName name="CY_Accounts_Receivable">#REF!</definedName>
    <definedName name="CY_Administration">#REF!</definedName>
    <definedName name="CY_Cash">#REF!</definedName>
    <definedName name="CY_Common_Equity">#REF!</definedName>
    <definedName name="CY_Cost_of_Sales">#REF!</definedName>
    <definedName name="CY_Current_Liabilities">#REF!</definedName>
    <definedName name="CY_Depreciation">#REF!</definedName>
    <definedName name="CY_Disc._Ops.">#REF!</definedName>
    <definedName name="CY_Extraord.">#REF!</definedName>
    <definedName name="CY_Gross_Profit">#REF!</definedName>
    <definedName name="CY_INC_AFT_TAX">#REF!</definedName>
    <definedName name="CY_INC_BEF_EXTRAORD">#REF!</definedName>
    <definedName name="CY_Inc_Bef_Tax">#REF!</definedName>
    <definedName name="CY_Intangible_Assets">#REF!</definedName>
    <definedName name="CY_Interest_Expense">#REF!</definedName>
    <definedName name="CY_Inventory">#REF!</definedName>
    <definedName name="CY_LIABIL_EQUITY">#REF!</definedName>
    <definedName name="CY_Long_term_Debt__excl_Dfd_Taxes">#REF!</definedName>
    <definedName name="CY_Marketable_Sec">#REF!</definedName>
    <definedName name="CY_NET_INCOME">#REF!</definedName>
    <definedName name="CY_Net_Revenue">#REF!</definedName>
    <definedName name="CY_Operating_Income">#REF!</definedName>
    <definedName name="CY_Other">#REF!</definedName>
    <definedName name="CY_Other_Curr_Assets">#REF!</definedName>
    <definedName name="CY_Other_LT_Assets">#REF!</definedName>
    <definedName name="CY_Other_LT_Liabilities">#REF!</definedName>
    <definedName name="CY_Preferred_Stock">#REF!</definedName>
    <definedName name="CY_QUICK_ASSETS">#REF!</definedName>
    <definedName name="CY_Retained_Earnings">#REF!</definedName>
    <definedName name="CY_Selling">#REF!</definedName>
    <definedName name="CY_Tangible_Assets">#REF!</definedName>
    <definedName name="CY_Taxes">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Trade_Payables">#REF!</definedName>
    <definedName name="CY_Year_Income_Statement">#REF!</definedName>
    <definedName name="Dollar_Threshold">#REF!</definedName>
    <definedName name="Percent_Threshold">#REF!</definedName>
    <definedName name="PL_Dollar_Threshold">#REF!</definedName>
    <definedName name="PL_Percent_Threshold">#REF!</definedName>
    <definedName name="PY_Accounts_Receivable">#REF!</definedName>
    <definedName name="PY_Administration">#REF!</definedName>
    <definedName name="PY_Cash">#REF!</definedName>
    <definedName name="PY_Common_Equity">#REF!</definedName>
    <definedName name="PY_Cost_of_Sales">#REF!</definedName>
    <definedName name="PY_Current_Liabilities">#REF!</definedName>
    <definedName name="PY_Depreciation">#REF!</definedName>
    <definedName name="PY_Disc._Ops.">#REF!</definedName>
    <definedName name="PY_Extraord.">#REF!</definedName>
    <definedName name="PY_Gross_Profit">#REF!</definedName>
    <definedName name="PY_INC_AFT_TAX">#REF!</definedName>
    <definedName name="PY_INC_BEF_EXTRAORD">#REF!</definedName>
    <definedName name="PY_Inc_Bef_Tax">#REF!</definedName>
    <definedName name="PY_Intangible_Assets">#REF!</definedName>
    <definedName name="PY_Interest_Expense">#REF!</definedName>
    <definedName name="PY_Inventory">#REF!</definedName>
    <definedName name="PY_LIABIL_EQUITY">#REF!</definedName>
    <definedName name="PY_Long_term_Debt__excl_Dfd_Taxes">#REF!</definedName>
    <definedName name="PY_Marketable_Sec">#REF!</definedName>
    <definedName name="PY_NET_INCOME">#REF!</definedName>
    <definedName name="PY_Net_Revenue">#REF!</definedName>
    <definedName name="PY_Operating_Inc">#REF!</definedName>
    <definedName name="PY_Operating_Income">#REF!</definedName>
    <definedName name="PY_Other_Curr_Assets">#REF!</definedName>
    <definedName name="PY_Other_Exp">#REF!</definedName>
    <definedName name="PY_Other_LT_Assets">#REF!</definedName>
    <definedName name="PY_Other_LT_Liabilities">#REF!</definedName>
    <definedName name="PY_Preferred_Stock">#REF!</definedName>
    <definedName name="PY_QUICK_ASSETS">#REF!</definedName>
    <definedName name="PY_Retained_Earnings">#REF!</definedName>
    <definedName name="PY_Selling">#REF!</definedName>
    <definedName name="PY_Tangible_Assets">#REF!</definedName>
    <definedName name="PY_Taxes">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Trade_Payables">#REF!</definedName>
    <definedName name="PY_Year_Income_Statement">#REF!</definedName>
    <definedName name="PY2_Accounts_Receivable">#REF!</definedName>
    <definedName name="PY2_Administration">#REF!</definedName>
    <definedName name="PY2_Cash">#REF!</definedName>
    <definedName name="PY2_Common_Equity">#REF!</definedName>
    <definedName name="PY2_Cost_of_Sales">#REF!</definedName>
    <definedName name="PY2_Current_Liabilities">#REF!</definedName>
    <definedName name="PY2_Depreciation">#REF!</definedName>
    <definedName name="PY2_Disc._Ops.">#REF!</definedName>
    <definedName name="PY2_Extraord.">#REF!</definedName>
    <definedName name="PY2_Gross_Profit">#REF!</definedName>
    <definedName name="PY2_INC_AFT_TAX">#REF!</definedName>
    <definedName name="PY2_INC_BEF_EXTRAORD">#REF!</definedName>
    <definedName name="PY2_Inc_Bef_Tax">#REF!</definedName>
    <definedName name="PY2_Intangible_Assets">#REF!</definedName>
    <definedName name="PY2_Interest_Expense">#REF!</definedName>
    <definedName name="PY2_Inventory">#REF!</definedName>
    <definedName name="PY2_LIABIL_EQUITY">#REF!</definedName>
    <definedName name="PY2_Long_term_Debt__excl_Dfd_Taxes">#REF!</definedName>
    <definedName name="PY2_Marketable_Sec">#REF!</definedName>
    <definedName name="PY2_NET_INCOME">#REF!</definedName>
    <definedName name="PY2_Net_Revenue">#REF!</definedName>
    <definedName name="PY2_Operating_Inc">#REF!</definedName>
    <definedName name="PY2_Operating_Income">#REF!</definedName>
    <definedName name="PY2_Other_Curr_Assets">#REF!</definedName>
    <definedName name="PY2_Other_Exp.">#REF!</definedName>
    <definedName name="PY2_Other_LT_Assets">#REF!</definedName>
    <definedName name="PY2_Other_LT_Liabilities">#REF!</definedName>
    <definedName name="PY2_Preferred_Stock">#REF!</definedName>
    <definedName name="PY2_QUICK_ASSETS">#REF!</definedName>
    <definedName name="PY2_Retained_Earnings">#REF!</definedName>
    <definedName name="PY2_Selling">#REF!</definedName>
    <definedName name="PY2_Tangible_Assets">#REF!</definedName>
    <definedName name="PY2_Taxes">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Trade_Payables">#REF!</definedName>
    <definedName name="PY2_Year_Income_Statement">#REF!</definedName>
    <definedName name="PY3_Accounts_Receivable">#REF!</definedName>
    <definedName name="PY3_Administration">#REF!</definedName>
    <definedName name="PY3_Cash">#REF!</definedName>
    <definedName name="PY3_Common_Equity">#REF!</definedName>
    <definedName name="PY3_Cost_of_Sales">#REF!</definedName>
    <definedName name="PY3_Current_Liabilities">#REF!</definedName>
    <definedName name="PY3_Depreciation">#REF!</definedName>
    <definedName name="PY3_Disc._Ops.">#REF!</definedName>
    <definedName name="PY3_Extraord.">#REF!</definedName>
    <definedName name="PY3_Gross_Profit">#REF!</definedName>
    <definedName name="PY3_INC_AFT_TAX">#REF!</definedName>
    <definedName name="PY3_INC_BEF_EXTRAORD">#REF!</definedName>
    <definedName name="PY3_Inc_Bef_Tax">#REF!</definedName>
    <definedName name="PY3_Intangible_Assets">#REF!</definedName>
    <definedName name="PY3_Interest_Expense">#REF!</definedName>
    <definedName name="PY3_Inventory">#REF!</definedName>
    <definedName name="PY3_LIABIL_EQUITY">#REF!</definedName>
    <definedName name="PY3_Long_term_Debt__excl_Dfd_Taxes">#REF!</definedName>
    <definedName name="PY3_Marketable_Sec">#REF!</definedName>
    <definedName name="PY3_NET_INCOME">#REF!</definedName>
    <definedName name="PY3_Net_Revenue">#REF!</definedName>
    <definedName name="PY3_Operating_Inc">#REF!</definedName>
    <definedName name="PY3_Other_Curr_Assets">#REF!</definedName>
    <definedName name="PY3_Other_Exp.">#REF!</definedName>
    <definedName name="PY3_Other_LT_Assets">#REF!</definedName>
    <definedName name="PY3_Other_LT_Liabilities">#REF!</definedName>
    <definedName name="PY3_Preferred_Stock">#REF!</definedName>
    <definedName name="PY3_QUICK_ASSETS">#REF!</definedName>
    <definedName name="PY3_Retained_Earnings">#REF!</definedName>
    <definedName name="PY3_Selling">#REF!</definedName>
    <definedName name="PY3_Tangible_Assets">#REF!</definedName>
    <definedName name="PY3_Taxes">#REF!</definedName>
    <definedName name="PY3_TOTAL_ASSETS">#REF!</definedName>
    <definedName name="PY3_TOTAL_CURR_ASSETS">#REF!</definedName>
    <definedName name="PY3_TOTAL_DEBT">#REF!</definedName>
    <definedName name="PY3_TOTAL_EQUITY">#REF!</definedName>
    <definedName name="PY3_Trade_Payables">#REF!</definedName>
    <definedName name="PY3_Year_Income_Statement">#REF!</definedName>
    <definedName name="PY4_Accounts_Receivable">#REF!</definedName>
    <definedName name="PY4_Administration">#REF!</definedName>
    <definedName name="PY4_Cash">#REF!</definedName>
    <definedName name="PY4_Common_Equity">#REF!</definedName>
    <definedName name="PY4_Cost_of_Sales">#REF!</definedName>
    <definedName name="PY4_Current_Liabilities">#REF!</definedName>
    <definedName name="PY4_Depreciation">#REF!</definedName>
    <definedName name="PY4_Disc._Ops.">#REF!</definedName>
    <definedName name="PY4_Extraord.">#REF!</definedName>
    <definedName name="PY4_Gross_Profit">#REF!</definedName>
    <definedName name="PY4_INC_AFT_TAX">#REF!</definedName>
    <definedName name="PY4_INC_BEF_EXTRAORD">#REF!</definedName>
    <definedName name="PY4_Inc_Bef_Tax">#REF!</definedName>
    <definedName name="PY4_Intangible_Assets">#REF!</definedName>
    <definedName name="PY4_Interest_Expense">#REF!</definedName>
    <definedName name="PY4_Inventory">#REF!</definedName>
    <definedName name="PY4_LIABIL_EQUITY">#REF!</definedName>
    <definedName name="PY4_Long_term_Debt__excl_Dfd_Taxes">#REF!</definedName>
    <definedName name="PY4_Marketable_Sec">#REF!</definedName>
    <definedName name="PY4_NET_INCOME">#REF!</definedName>
    <definedName name="PY4_Net_Revenue">#REF!</definedName>
    <definedName name="PY4_Operating_Inc">#REF!</definedName>
    <definedName name="PY4_Other_Cur_Assets">#REF!</definedName>
    <definedName name="PY4_Other_Exp.">#REF!</definedName>
    <definedName name="PY4_Other_LT_Assets">#REF!</definedName>
    <definedName name="PY4_Other_LT_Liabilities">#REF!</definedName>
    <definedName name="PY4_Preferred_Stock">#REF!</definedName>
    <definedName name="PY4_QUICK_ASSETS">#REF!</definedName>
    <definedName name="PY4_Retained_Earnings">#REF!</definedName>
    <definedName name="PY4_Selling">#REF!</definedName>
    <definedName name="PY4_Tangible_Assets">#REF!</definedName>
    <definedName name="PY4_Taxes">#REF!</definedName>
    <definedName name="PY4_TOTAL_ASSETS">#REF!</definedName>
    <definedName name="PY4_TOTAL_CURR_ASSETS">#REF!</definedName>
    <definedName name="PY4_TOTAL_DEBT">#REF!</definedName>
    <definedName name="PY4_TOTAL_EQUITY">#REF!</definedName>
    <definedName name="PY4_Trade_Payables">#REF!</definedName>
    <definedName name="PY4_Year_Income_Statement">#REF!</definedName>
    <definedName name="PY5_Accounts_Receivable">#REF!</definedName>
    <definedName name="PY5_Administration">#REF!</definedName>
    <definedName name="PY5_Cash">#REF!</definedName>
    <definedName name="PY5_Common_Equity">#REF!</definedName>
    <definedName name="PY5_Cost_of_Sales">#REF!</definedName>
    <definedName name="PY5_Current_Liabilities">#REF!</definedName>
    <definedName name="PY5_Depreciation">#REF!</definedName>
    <definedName name="PY5_Disc._Ops.">#REF!</definedName>
    <definedName name="PY5_Extraord.">#REF!</definedName>
    <definedName name="PY5_Gross_Profit">#REF!</definedName>
    <definedName name="PY5_INC_AFT_TAX">#REF!</definedName>
    <definedName name="PY5_INC_BEF_EXTRAORD">#REF!</definedName>
    <definedName name="PY5_Inc_Bef_Tax">#REF!</definedName>
    <definedName name="PY5_Intangible_Assets">#REF!</definedName>
    <definedName name="PY5_Interest_Expense">#REF!</definedName>
    <definedName name="PY5_Inventory">#REF!</definedName>
    <definedName name="PY5_LIABIL_EQUITY">#REF!</definedName>
    <definedName name="PY5_Long_term_Debt__excl_Dfd_Taxes">#REF!</definedName>
    <definedName name="PY5_Marketable_Sec">#REF!</definedName>
    <definedName name="PY5_NET_INCOME">#REF!</definedName>
    <definedName name="PY5_Net_Revenue">#REF!</definedName>
    <definedName name="PY5_Operating_Inc">#REF!</definedName>
    <definedName name="PY5_Other_Curr_Assets">#REF!</definedName>
    <definedName name="PY5_Other_Exp.">#REF!</definedName>
    <definedName name="PY5_Other_LT_Assets">#REF!</definedName>
    <definedName name="PY5_Other_LT_Liabilities">#REF!</definedName>
    <definedName name="PY5_Preferred_Stock">#REF!</definedName>
    <definedName name="PY5_QUICK_ASSETS">#REF!</definedName>
    <definedName name="PY5_Retained_Earnings">#REF!</definedName>
    <definedName name="PY5_Selling">#REF!</definedName>
    <definedName name="PY5_Tangible_Assets">#REF!</definedName>
    <definedName name="PY5_Taxes">#REF!</definedName>
    <definedName name="PY5_TOTAL_ASSETS">#REF!</definedName>
    <definedName name="PY5_TOTAL_CURR_ASSETS">#REF!</definedName>
    <definedName name="PY5_TOTAL_DEBT">#REF!</definedName>
    <definedName name="PY5_TOTAL_EQUITY">#REF!</definedName>
    <definedName name="PY5_Trade_Payables">#REF!</definedName>
    <definedName name="PY5_Year_Income_Statement">#REF!</definedName>
    <definedName name="TextRefCopy1">#REF!</definedName>
    <definedName name="TextRefCopy11">[1]ПромНаКап!#REF!</definedName>
    <definedName name="TextRefCopy13">[1]ПромНаКап!#REF!</definedName>
    <definedName name="TextRefCopy14">[1]ПромНаКап!#REF!</definedName>
    <definedName name="TextRefCopy16">[1]ПромНаКап!#REF!</definedName>
    <definedName name="TextRefCopy17">[1]ПромНаКап!#REF!</definedName>
    <definedName name="TextRefCopy18">[1]ПромНаКап!#REF!</definedName>
    <definedName name="TextRefCopy19">[1]ПромНаКап!#REF!</definedName>
    <definedName name="TextRefCopy2">#REF!</definedName>
    <definedName name="TextRefCopy20">[1]ПромНаКап!#REF!</definedName>
    <definedName name="TextRefCopy21">[1]ПромНаКап!#REF!</definedName>
    <definedName name="TextRefCopy22">[1]ПромНаКап!#REF!</definedName>
    <definedName name="TextRefCopy23">[1]ПромНаКап!#REF!</definedName>
    <definedName name="TextRefCopy24">[1]ПромНаКап!#REF!</definedName>
    <definedName name="TextRefCopy25">[1]ПромНаКап!#REF!</definedName>
    <definedName name="TextRefCopy26">[1]ПромНаКап!#REF!</definedName>
    <definedName name="TextRefCopy3">#REF!</definedName>
    <definedName name="TextRefCopy31">[1]Ос!#REF!</definedName>
    <definedName name="TextRefCopy32">[1]Ос!#REF!</definedName>
    <definedName name="TextRefCopy33">[1]Ос!#REF!</definedName>
    <definedName name="TextRefCopy34">[1]Ос!#REF!</definedName>
    <definedName name="TextRefCopy35">[1]Ос!#REF!</definedName>
    <definedName name="TextRefCopy36">[1]Ос!#REF!</definedName>
    <definedName name="TextRefCopy37">[1]Ос!#REF!</definedName>
    <definedName name="TextRefCopy4">#REF!</definedName>
    <definedName name="TextRefCopy40">[1]Ос!#REF!</definedName>
    <definedName name="TextRefCopy41">[1]Ос!#REF!</definedName>
    <definedName name="TextRefCopy42">[1]Ос!#REF!</definedName>
    <definedName name="TextRefCopy5">#REF!</definedName>
    <definedName name="TextRefCopy51">[1]Ос!#REF!</definedName>
    <definedName name="TextRefCopy52">[1]Ос!#REF!</definedName>
    <definedName name="TextRefCopy53">[1]Ос!#REF!</definedName>
    <definedName name="TextRefCopy54">[1]Ос!#REF!</definedName>
    <definedName name="TextRefCopy55">[1]Ос!#REF!</definedName>
    <definedName name="TextRefCopy56">[1]Ос!#REF!</definedName>
    <definedName name="TextRefCopy6">#REF!</definedName>
    <definedName name="TextRefCopy7">[1]ПромНаКап!#REF!</definedName>
    <definedName name="TextRefCopy73">[1]Ос!#REF!</definedName>
    <definedName name="TextRefCopy74">[1]Ос!#REF!</definedName>
    <definedName name="TextRefCopy75">[1]Ос!#REF!</definedName>
    <definedName name="TextRefCopy76">[1]Ос!#REF!</definedName>
    <definedName name="TextRefCopy79">[1]Ос!#REF!</definedName>
    <definedName name="TextRefCopy8">[1]ПромНаКап!#REF!</definedName>
    <definedName name="TextRefCopy9">[1]ПромНаКап!#REF!</definedName>
    <definedName name="TextRefCopyRangeCount" hidden="1">1</definedName>
    <definedName name="xx">#REF!</definedName>
  </definedNames>
  <calcPr calcId="162913"/>
  <customWorkbookViews>
    <customWorkbookView name="Vilchis, Miguel - Personal View" guid="{7226C8CA-4769-423D-90E8-51F51423C0CB}" mergeInterval="0" personalView="1" maximized="1" windowWidth="1020" windowHeight="566" tabRatio="890" activeSheetId="2"/>
  </customWorkbookViews>
</workbook>
</file>

<file path=xl/calcChain.xml><?xml version="1.0" encoding="utf-8"?>
<calcChain xmlns="http://schemas.openxmlformats.org/spreadsheetml/2006/main">
  <c r="D4" i="36" l="1"/>
  <c r="D7" i="36"/>
  <c r="D3" i="36" s="1"/>
  <c r="D24" i="38"/>
  <c r="D6" i="38"/>
  <c r="D5" i="38" l="1"/>
  <c r="C5" i="7"/>
  <c r="B8" i="7"/>
  <c r="G18" i="7"/>
  <c r="F18" i="7"/>
  <c r="E18" i="7"/>
  <c r="D18" i="7"/>
  <c r="C18" i="7"/>
  <c r="B18" i="7"/>
  <c r="G16" i="7"/>
  <c r="F16" i="7"/>
  <c r="E16" i="7"/>
  <c r="D16" i="7"/>
  <c r="C16" i="7"/>
  <c r="B16" i="7"/>
  <c r="G13" i="7"/>
  <c r="F13" i="7"/>
  <c r="E13" i="7"/>
  <c r="D13" i="7"/>
  <c r="C13" i="7"/>
  <c r="B13" i="7"/>
  <c r="G11" i="7"/>
  <c r="F11" i="7"/>
  <c r="E11" i="7"/>
  <c r="D11" i="7"/>
  <c r="C11" i="7"/>
  <c r="B11" i="7"/>
  <c r="G9" i="7"/>
  <c r="F9" i="7"/>
  <c r="E9" i="7"/>
  <c r="D9" i="7"/>
  <c r="C9" i="7"/>
  <c r="B9" i="7"/>
  <c r="G8" i="7"/>
  <c r="F8" i="7"/>
  <c r="E8" i="7"/>
  <c r="D8" i="7"/>
  <c r="C8" i="7"/>
  <c r="G7" i="7"/>
  <c r="F7" i="7"/>
  <c r="E7" i="7"/>
  <c r="D7" i="7"/>
  <c r="C7" i="7"/>
  <c r="B7" i="7"/>
  <c r="G6" i="7"/>
  <c r="F6" i="7"/>
  <c r="E6" i="7"/>
  <c r="D6" i="7"/>
  <c r="C6" i="7"/>
  <c r="B6" i="7"/>
  <c r="G3" i="7"/>
  <c r="F3" i="7"/>
  <c r="E3" i="7"/>
  <c r="D3" i="7"/>
  <c r="C3" i="7"/>
  <c r="B3" i="7"/>
  <c r="G2" i="7"/>
  <c r="F2" i="7"/>
  <c r="E2" i="7"/>
  <c r="D2" i="7"/>
  <c r="G5" i="7"/>
  <c r="F5" i="7"/>
  <c r="E5" i="7"/>
  <c r="D5" i="7"/>
  <c r="G1" i="7"/>
  <c r="G4" i="7" s="1"/>
  <c r="G14" i="7" s="1"/>
  <c r="F1" i="7"/>
  <c r="F4" i="7" s="1"/>
  <c r="F14" i="7" s="1"/>
  <c r="E1" i="7"/>
  <c r="E4" i="7" s="1"/>
  <c r="E14" i="7" s="1"/>
  <c r="D1" i="7"/>
  <c r="D4" i="7" s="1"/>
  <c r="D14" i="7" s="1"/>
  <c r="C1" i="7"/>
  <c r="C4" i="7" s="1"/>
  <c r="C14" i="7" s="1"/>
  <c r="B1" i="7"/>
  <c r="B4" i="7" s="1"/>
  <c r="B14" i="7" s="1"/>
  <c r="C2" i="7"/>
  <c r="B2" i="7"/>
  <c r="B5" i="7"/>
  <c r="G10" i="7"/>
  <c r="E10" i="7"/>
  <c r="C10" i="7"/>
  <c r="F10" i="7"/>
  <c r="D10" i="7"/>
  <c r="B10" i="7"/>
  <c r="F12" i="7"/>
  <c r="E12" i="7"/>
  <c r="B12" i="7"/>
  <c r="D12" i="7"/>
  <c r="C12" i="7"/>
  <c r="G12" i="7"/>
  <c r="C15" i="7"/>
  <c r="D22" i="7"/>
  <c r="D15" i="7"/>
  <c r="B15" i="7"/>
  <c r="F22" i="7"/>
  <c r="F15" i="7"/>
  <c r="F17" i="7" s="1"/>
  <c r="G15" i="7"/>
  <c r="G22" i="7"/>
  <c r="E15" i="7"/>
  <c r="E22" i="7"/>
  <c r="B22" i="7"/>
  <c r="C22" i="7"/>
  <c r="G17" i="7" l="1"/>
  <c r="G19" i="7" s="1"/>
  <c r="B17" i="7"/>
  <c r="B19" i="7" s="1"/>
  <c r="F19" i="7"/>
  <c r="D17" i="7"/>
  <c r="D19" i="7" s="1"/>
  <c r="E17" i="7"/>
  <c r="E19" i="7" s="1"/>
  <c r="C17" i="7"/>
  <c r="C19" i="7" s="1"/>
</calcChain>
</file>

<file path=xl/sharedStrings.xml><?xml version="1.0" encoding="utf-8"?>
<sst xmlns="http://schemas.openxmlformats.org/spreadsheetml/2006/main" count="223" uniqueCount="143">
  <si>
    <t>Net Revenue / Sales</t>
  </si>
  <si>
    <t>Cost of Sales / Cost of Goods Sold</t>
  </si>
  <si>
    <t>Administration</t>
  </si>
  <si>
    <t>Selling and Marketing</t>
  </si>
  <si>
    <t>Other Operating Expenses</t>
  </si>
  <si>
    <t>Depreciation / Amortization</t>
  </si>
  <si>
    <t>Interest Expense</t>
  </si>
  <si>
    <t>Income Taxes</t>
  </si>
  <si>
    <t>NET INCOME</t>
  </si>
  <si>
    <t>Gross Profit</t>
  </si>
  <si>
    <t>Operating Income</t>
  </si>
  <si>
    <t>Income before taxes</t>
  </si>
  <si>
    <t>Discontinued operations</t>
  </si>
  <si>
    <t>Extraordinary items and changes in accounting principles</t>
  </si>
  <si>
    <t>Income after taxes</t>
  </si>
  <si>
    <t>Income before extraordinary items</t>
  </si>
  <si>
    <t>EBITDA Margin</t>
  </si>
  <si>
    <t>Serbian</t>
  </si>
  <si>
    <t>Beogradske Elektrane</t>
  </si>
  <si>
    <t>На дан/период</t>
  </si>
  <si>
    <t>Година</t>
  </si>
  <si>
    <t>Датум текући БС</t>
  </si>
  <si>
    <t>Stanje 31/12</t>
  </si>
  <si>
    <t>2013</t>
  </si>
  <si>
    <t>Stanje 01/01</t>
  </si>
  <si>
    <t>Датум претходни БС</t>
  </si>
  <si>
    <t>2012</t>
  </si>
  <si>
    <t>Биланс успеха</t>
  </si>
  <si>
    <t>Јан - дец</t>
  </si>
  <si>
    <t>БТГ</t>
  </si>
  <si>
    <t>1. јануара</t>
  </si>
  <si>
    <t>31. дец</t>
  </si>
  <si>
    <t>Валута</t>
  </si>
  <si>
    <t>у 000 динара</t>
  </si>
  <si>
    <t>ДОБРА</t>
  </si>
  <si>
    <t>УСЛУГЕ</t>
  </si>
  <si>
    <t>РАДОВИ</t>
  </si>
  <si>
    <t>Редни број</t>
  </si>
  <si>
    <t xml:space="preserve">Врста поступка </t>
  </si>
  <si>
    <t xml:space="preserve">Процењена вредност  </t>
  </si>
  <si>
    <t>март</t>
  </si>
  <si>
    <t xml:space="preserve">јануар </t>
  </si>
  <si>
    <t xml:space="preserve">отворени поступак </t>
  </si>
  <si>
    <t>Укупно:</t>
  </si>
  <si>
    <t xml:space="preserve">Процењена вредност </t>
  </si>
  <si>
    <t xml:space="preserve">Набавка униформи </t>
  </si>
  <si>
    <t xml:space="preserve">Куповина намештаја </t>
  </si>
  <si>
    <t xml:space="preserve">током године </t>
  </si>
  <si>
    <t xml:space="preserve">Куповина фотографија </t>
  </si>
  <si>
    <t>током године</t>
  </si>
  <si>
    <t xml:space="preserve">Услуге превода </t>
  </si>
  <si>
    <t xml:space="preserve">Услуга противпожарне заштите </t>
  </si>
  <si>
    <t xml:space="preserve">новембар  </t>
  </si>
  <si>
    <t>Куповина антивирус лиценци</t>
  </si>
  <si>
    <t>Туристичка организација Београда</t>
  </si>
  <si>
    <t>Миодраг Поповић, в.д. директора</t>
  </si>
  <si>
    <t>Оквирно време покретања поступка</t>
  </si>
  <si>
    <t xml:space="preserve">Услуге штампе </t>
  </si>
  <si>
    <t xml:space="preserve">Предмет набавке </t>
  </si>
  <si>
    <t xml:space="preserve">Услуге туристичких агенција ради обезбеђења  услуге превоза и хотелског смештаја у иностранству  </t>
  </si>
  <si>
    <t xml:space="preserve">63500000-4 услуге путничких агенција и тур оператера и услуге помоћи туристима </t>
  </si>
  <si>
    <t xml:space="preserve">Угоститељске услуге исхране у земљи  </t>
  </si>
  <si>
    <t xml:space="preserve">Услуге агенција за промоцију и логистику </t>
  </si>
  <si>
    <t xml:space="preserve">  79416000-3 Услуге у области односа са јавношћу</t>
  </si>
  <si>
    <t>ЦПВ</t>
  </si>
  <si>
    <t xml:space="preserve"> ЦПВ</t>
  </si>
  <si>
    <t xml:space="preserve">Куповина штампача </t>
  </si>
  <si>
    <t xml:space="preserve">Куповина канцеларијског материјала </t>
  </si>
  <si>
    <t>Куповина сувенира</t>
  </si>
  <si>
    <t>Куповина тонера</t>
  </si>
  <si>
    <t>Куповина улазница за туристичке промотивне програме</t>
  </si>
  <si>
    <t>Услуге чишћења</t>
  </si>
  <si>
    <t>Услуге систематског прегледа запослених</t>
  </si>
  <si>
    <t xml:space="preserve">Услуге безбедности на раду </t>
  </si>
  <si>
    <t>Услуге туристичких водича</t>
  </si>
  <si>
    <t xml:space="preserve">Осигурање имовине и лица </t>
  </si>
  <si>
    <t xml:space="preserve">Услуге архива </t>
  </si>
  <si>
    <t xml:space="preserve">Услуге прес клипинга </t>
  </si>
  <si>
    <t xml:space="preserve">Услуге дизајна </t>
  </si>
  <si>
    <t xml:space="preserve">Услуге писања текстова </t>
  </si>
  <si>
    <t>јун</t>
  </si>
  <si>
    <t>Услуга одржавања интерактивних панела</t>
  </si>
  <si>
    <t>Услуга одржавања сајта ТОБ</t>
  </si>
  <si>
    <t>Услуга креирања садржаја за дигиталну кампању</t>
  </si>
  <si>
    <t>Adwords кампања</t>
  </si>
  <si>
    <t>Услуга одржавања city light</t>
  </si>
  <si>
    <t>News letter Visit Belgrade</t>
  </si>
  <si>
    <t>април</t>
  </si>
  <si>
    <t>фебруар</t>
  </si>
  <si>
    <t>Складиштење тезги</t>
  </si>
  <si>
    <t>Куповина дневне штампе</t>
  </si>
  <si>
    <t>Куповина нафтних деривата</t>
  </si>
  <si>
    <t>новембар</t>
  </si>
  <si>
    <t xml:space="preserve">Превоз тезги    </t>
  </si>
  <si>
    <t>Услуга декорације за манифестацију Карневал бродова</t>
  </si>
  <si>
    <t>Услуга поправки тезги</t>
  </si>
  <si>
    <t xml:space="preserve">Услуга одржавања рачунара </t>
  </si>
  <si>
    <t>Израда пехара за манифестацију Карневал бродова</t>
  </si>
  <si>
    <t>Услуга шпедиције</t>
  </si>
  <si>
    <t>Радови на пејзажном уређењу постојећег парка и уређење спортских терена "СТЕПИН ГАЈ"- I -ГО Звездара</t>
  </si>
  <si>
    <t>45112700-2 Радови на уређењу пејзажа</t>
  </si>
  <si>
    <t>закуп опреме за манифестације</t>
  </si>
  <si>
    <t>Услуге мобилне телефоније</t>
  </si>
  <si>
    <t>тело за централизоване набавке: Служба за централизоване јавне набавке и контролу набавки</t>
  </si>
  <si>
    <t>Вулканизерске услуге, чување гума и услуге прања возила</t>
  </si>
  <si>
    <t>Куповина разноврсног потрошног  материјала</t>
  </si>
  <si>
    <t>Куповина средстава за чишћење и хигијену</t>
  </si>
  <si>
    <t>Куповина стручне литературе</t>
  </si>
  <si>
    <t>Текуће поправке пословног простора</t>
  </si>
  <si>
    <t>Куповина рачунарске опреме</t>
  </si>
  <si>
    <t>Услуга дистрибуције електричне енергије</t>
  </si>
  <si>
    <t>65310000-9 Дистрибуција електричне нергије</t>
  </si>
  <si>
    <t>Услуге хотелског смештаја-у земљи</t>
  </si>
  <si>
    <t>55110000-4 Услуге хотелског смештаја</t>
  </si>
  <si>
    <t>Остале услуге штампе</t>
  </si>
  <si>
    <t>79340000-9 Услуге оглашавања и маркетинга</t>
  </si>
  <si>
    <t>отворени поступак</t>
  </si>
  <si>
    <t>Елаборати режима саобраћаја и ситуационог плана-Карневал бродова и Београдски туристички фестивал</t>
  </si>
  <si>
    <t>Услуга објављивања огласа</t>
  </si>
  <si>
    <t>Услуге имплементирање садржаја на сајт на руском, кинеском и немачком</t>
  </si>
  <si>
    <t>64212000-5 Услуге мобилне телефоније</t>
  </si>
  <si>
    <t>Услуге израде сајамске поставке за представљање туристичке понуде града Београда у земљи</t>
  </si>
  <si>
    <t>Остали потрошни материјал за службена возила</t>
  </si>
  <si>
    <t>Путно осигурање</t>
  </si>
  <si>
    <t>Услуга ангажовања санитетске екипе за манифестације</t>
  </si>
  <si>
    <t>Услуге  одржавања exchange mail сервера</t>
  </si>
  <si>
    <t>Услуге најма моторних возила са возачем у друмском саобраћају у земљи и иностранству</t>
  </si>
  <si>
    <t>отворен поступак</t>
  </si>
  <si>
    <t xml:space="preserve"> ПЛАН  ЈАВНИХ НАБАВКИ ТУРИСТИЧКЕ ОРГАНИЗАЦИЈЕ БЕОГРАДА ЗА 2022. ГОДИНУ </t>
  </si>
  <si>
    <t xml:space="preserve">  ПЛАН НАБАВКИ  ТУРИСТИЧКЕ ОРГАНИЗАЦИЈЕ БЕОГРАДА ЗА 2022. ГОДИНУ - НАБАВКЕ НА КОЈЕ СЕ ЗАКОН НЕ ПРИМЕЊУЈЕ</t>
  </si>
  <si>
    <t>601170000-0 Најам возила за превоз путника са возачем</t>
  </si>
  <si>
    <t>63514000-5 Услуге туристичких водича</t>
  </si>
  <si>
    <t>Пакет услуга за кафу</t>
  </si>
  <si>
    <t>Услуга коришћења water cooler апарата</t>
  </si>
  <si>
    <t>мај</t>
  </si>
  <si>
    <t>јануар</t>
  </si>
  <si>
    <t>јул</t>
  </si>
  <si>
    <t xml:space="preserve">Услуге промотивне кампање  преко друштвених мрежа Фејсбук и Инстаграм  </t>
  </si>
  <si>
    <t>Имлементирање и одржавање фискалних каса</t>
  </si>
  <si>
    <t>ПР активности - дигитална кампања</t>
  </si>
  <si>
    <t>Осигурање возила</t>
  </si>
  <si>
    <t>Услуга оглашавања на порталима у региону</t>
  </si>
  <si>
    <t>98300000 разне услуге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</si>
</sst>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5" formatCode="_-* #,##0.00\ _D_i_n_._-;\-* #,##0.00\ _D_i_n_._-;_-* &quot;-&quot;??\ _D_i_n_._-;_-@_-"/>
    <numFmt numFmtId="166" formatCode="0%_);\(0%\)"/>
    <numFmt numFmtId="167" formatCode="_(* #,##0_);_(* \(#,##0\);_(* &quot;-&quot;??_);_(@_)"/>
    <numFmt numFmtId="168" formatCode="0.0000"/>
    <numFmt numFmtId="169" formatCode="0.0\ &quot;x&quot;"/>
  </numFmts>
  <fonts count="28" x14ac:knownFonts="1"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10"/>
      <color indexed="18"/>
      <name val="Verdana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A0E0E0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37" fontId="0" fillId="0" borderId="0"/>
    <xf numFmtId="0" fontId="14" fillId="0" borderId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" fontId="14" fillId="0" borderId="0" applyFont="0" applyFill="0" applyBorder="0" applyAlignment="0" applyProtection="0"/>
    <xf numFmtId="10" fontId="2" fillId="2" borderId="1" applyNumberFormat="0" applyFont="0" applyBorder="0" applyAlignment="0" applyProtection="0">
      <protection locked="0"/>
    </xf>
    <xf numFmtId="168" fontId="15" fillId="2" borderId="1" applyFont="0" applyFill="0" applyBorder="0" applyAlignment="0" applyProtection="0">
      <protection locked="0"/>
    </xf>
    <xf numFmtId="14" fontId="4" fillId="3" borderId="2">
      <alignment horizontal="center" vertical="center" wrapText="1"/>
    </xf>
    <xf numFmtId="16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Fill="0" applyBorder="0" applyProtection="0">
      <alignment horizontal="left" vertical="top"/>
    </xf>
    <xf numFmtId="10" fontId="2" fillId="4" borderId="1" applyNumberFormat="0" applyFont="0" applyBorder="0" applyAlignment="0" applyProtection="0">
      <protection locked="0"/>
    </xf>
    <xf numFmtId="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2">
    <xf numFmtId="37" fontId="0" fillId="0" borderId="0" xfId="0"/>
    <xf numFmtId="37" fontId="2" fillId="0" borderId="0" xfId="0" applyNumberFormat="1" applyFont="1"/>
    <xf numFmtId="37" fontId="2" fillId="0" borderId="3" xfId="0" applyNumberFormat="1" applyFont="1" applyBorder="1"/>
    <xf numFmtId="14" fontId="4" fillId="3" borderId="2" xfId="8">
      <alignment horizontal="center" vertical="center" wrapText="1"/>
    </xf>
    <xf numFmtId="37" fontId="6" fillId="0" borderId="0" xfId="0" applyNumberFormat="1" applyFont="1"/>
    <xf numFmtId="37" fontId="2" fillId="5" borderId="0" xfId="0" applyNumberFormat="1" applyFont="1" applyFill="1"/>
    <xf numFmtId="0" fontId="2" fillId="0" borderId="0" xfId="16"/>
    <xf numFmtId="37" fontId="2" fillId="5" borderId="4" xfId="0" applyNumberFormat="1" applyFont="1" applyFill="1" applyBorder="1"/>
    <xf numFmtId="14" fontId="4" fillId="3" borderId="0" xfId="8" applyBorder="1">
      <alignment horizontal="center" vertical="center" wrapText="1"/>
    </xf>
    <xf numFmtId="37" fontId="2" fillId="0" borderId="0" xfId="0" applyNumberFormat="1" applyFont="1" applyBorder="1"/>
    <xf numFmtId="37" fontId="2" fillId="0" borderId="0" xfId="16" applyNumberFormat="1"/>
    <xf numFmtId="37" fontId="2" fillId="0" borderId="5" xfId="16" applyNumberFormat="1" applyBorder="1"/>
    <xf numFmtId="9" fontId="2" fillId="0" borderId="0" xfId="16" applyNumberFormat="1"/>
    <xf numFmtId="167" fontId="9" fillId="0" borderId="0" xfId="2" applyNumberFormat="1" applyFont="1" applyProtection="1">
      <protection locked="0"/>
    </xf>
    <xf numFmtId="0" fontId="10" fillId="0" borderId="0" xfId="16" applyFont="1"/>
    <xf numFmtId="0" fontId="11" fillId="6" borderId="1" xfId="16" applyFont="1" applyFill="1" applyBorder="1"/>
    <xf numFmtId="0" fontId="11" fillId="0" borderId="0" xfId="16" applyFont="1"/>
    <xf numFmtId="0" fontId="12" fillId="6" borderId="1" xfId="16" applyFont="1" applyFill="1" applyBorder="1"/>
    <xf numFmtId="167" fontId="13" fillId="0" borderId="0" xfId="2" quotePrefix="1" applyNumberFormat="1" applyFont="1" applyAlignment="1" applyProtection="1">
      <alignment horizontal="center"/>
      <protection locked="0"/>
    </xf>
    <xf numFmtId="167" fontId="13" fillId="0" borderId="0" xfId="2" applyNumberFormat="1" applyFont="1" applyAlignment="1" applyProtection="1">
      <alignment horizontal="center"/>
      <protection locked="0"/>
    </xf>
    <xf numFmtId="0" fontId="12" fillId="0" borderId="0" xfId="16" applyFont="1" applyFill="1" applyBorder="1"/>
    <xf numFmtId="167" fontId="7" fillId="0" borderId="0" xfId="12" applyNumberFormat="1" applyFont="1" applyBorder="1" applyAlignment="1">
      <alignment horizontal="right" vertical="center" wrapText="1"/>
    </xf>
    <xf numFmtId="167" fontId="10" fillId="0" borderId="0" xfId="16" applyNumberFormat="1" applyFont="1" applyBorder="1"/>
    <xf numFmtId="0" fontId="10" fillId="0" borderId="0" xfId="16" applyFont="1" applyBorder="1"/>
    <xf numFmtId="167" fontId="7" fillId="0" borderId="0" xfId="16" applyNumberFormat="1" applyFont="1" applyBorder="1"/>
    <xf numFmtId="0" fontId="16" fillId="7" borderId="6" xfId="0" applyNumberFormat="1" applyFont="1" applyFill="1" applyBorder="1" applyAlignment="1">
      <alignment horizontal="center" vertical="center" wrapText="1"/>
    </xf>
    <xf numFmtId="0" fontId="16" fillId="7" borderId="7" xfId="0" applyNumberFormat="1" applyFont="1" applyFill="1" applyBorder="1" applyAlignment="1">
      <alignment horizontal="center" vertical="center" wrapText="1"/>
    </xf>
    <xf numFmtId="4" fontId="16" fillId="7" borderId="6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37" fontId="0" fillId="0" borderId="0" xfId="0" applyAlignment="1">
      <alignment horizontal="center"/>
    </xf>
    <xf numFmtId="37" fontId="10" fillId="0" borderId="0" xfId="0" applyFont="1"/>
    <xf numFmtId="0" fontId="20" fillId="8" borderId="6" xfId="0" applyNumberFormat="1" applyFont="1" applyFill="1" applyBorder="1" applyAlignment="1">
      <alignment horizontal="center" vertical="center" wrapText="1"/>
    </xf>
    <xf numFmtId="4" fontId="20" fillId="8" borderId="6" xfId="0" applyNumberFormat="1" applyFont="1" applyFill="1" applyBorder="1" applyAlignment="1">
      <alignment horizontal="center" vertical="center" wrapText="1"/>
    </xf>
    <xf numFmtId="0" fontId="21" fillId="10" borderId="1" xfId="0" applyNumberFormat="1" applyFont="1" applyFill="1" applyBorder="1" applyAlignment="1">
      <alignment vertical="top" wrapText="1"/>
    </xf>
    <xf numFmtId="0" fontId="19" fillId="9" borderId="1" xfId="0" applyNumberFormat="1" applyFont="1" applyFill="1" applyBorder="1" applyAlignment="1">
      <alignment horizontal="center" vertical="center" wrapText="1"/>
    </xf>
    <xf numFmtId="0" fontId="22" fillId="8" borderId="6" xfId="0" applyNumberFormat="1" applyFont="1" applyFill="1" applyBorder="1" applyAlignment="1">
      <alignment horizontal="center" vertical="center" wrapText="1"/>
    </xf>
    <xf numFmtId="4" fontId="22" fillId="8" borderId="6" xfId="0" applyNumberFormat="1" applyFont="1" applyFill="1" applyBorder="1" applyAlignment="1">
      <alignment horizontal="center" vertical="center" wrapText="1"/>
    </xf>
    <xf numFmtId="0" fontId="22" fillId="10" borderId="1" xfId="0" applyNumberFormat="1" applyFont="1" applyFill="1" applyBorder="1" applyAlignment="1">
      <alignment horizontal="center" vertical="center" wrapText="1"/>
    </xf>
    <xf numFmtId="4" fontId="22" fillId="10" borderId="1" xfId="0" applyNumberFormat="1" applyFont="1" applyFill="1" applyBorder="1" applyAlignment="1">
      <alignment horizontal="center" vertical="center" wrapText="1"/>
    </xf>
    <xf numFmtId="0" fontId="19" fillId="10" borderId="1" xfId="0" applyNumberFormat="1" applyFont="1" applyFill="1" applyBorder="1" applyAlignment="1">
      <alignment horizontal="center" vertical="top" wrapText="1"/>
    </xf>
    <xf numFmtId="0" fontId="23" fillId="7" borderId="7" xfId="0" applyNumberFormat="1" applyFont="1" applyFill="1" applyBorder="1" applyAlignment="1">
      <alignment horizontal="center" vertical="center" wrapText="1"/>
    </xf>
    <xf numFmtId="0" fontId="23" fillId="7" borderId="6" xfId="0" applyNumberFormat="1" applyFont="1" applyFill="1" applyBorder="1" applyAlignment="1">
      <alignment horizontal="center" vertical="center" wrapText="1"/>
    </xf>
    <xf numFmtId="0" fontId="23" fillId="9" borderId="11" xfId="0" applyNumberFormat="1" applyFont="1" applyFill="1" applyBorder="1" applyAlignment="1">
      <alignment horizontal="center" vertical="center" wrapText="1"/>
    </xf>
    <xf numFmtId="0" fontId="23" fillId="9" borderId="1" xfId="0" applyNumberFormat="1" applyFont="1" applyFill="1" applyBorder="1" applyAlignment="1">
      <alignment horizontal="center" vertical="center" wrapText="1"/>
    </xf>
    <xf numFmtId="0" fontId="20" fillId="8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22" fillId="7" borderId="6" xfId="0" applyNumberFormat="1" applyFont="1" applyFill="1" applyBorder="1" applyAlignment="1">
      <alignment horizontal="center" vertical="center" wrapText="1"/>
    </xf>
    <xf numFmtId="4" fontId="22" fillId="7" borderId="6" xfId="0" applyNumberFormat="1" applyFont="1" applyFill="1" applyBorder="1" applyAlignment="1">
      <alignment horizontal="center" vertical="center" wrapText="1"/>
    </xf>
    <xf numFmtId="0" fontId="22" fillId="9" borderId="1" xfId="0" applyNumberFormat="1" applyFont="1" applyFill="1" applyBorder="1" applyAlignment="1">
      <alignment horizontal="center" vertical="center" wrapText="1"/>
    </xf>
    <xf numFmtId="4" fontId="22" fillId="9" borderId="1" xfId="0" applyNumberFormat="1" applyFont="1" applyFill="1" applyBorder="1" applyAlignment="1">
      <alignment horizontal="center" vertical="center" wrapText="1"/>
    </xf>
    <xf numFmtId="37" fontId="0" fillId="0" borderId="0" xfId="0" applyBorder="1"/>
    <xf numFmtId="0" fontId="16" fillId="9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37" fontId="0" fillId="0" borderId="0" xfId="0" applyFill="1"/>
    <xf numFmtId="0" fontId="26" fillId="9" borderId="1" xfId="0" applyNumberFormat="1" applyFont="1" applyFill="1" applyBorder="1" applyAlignment="1">
      <alignment horizontal="center" vertical="center" wrapText="1"/>
    </xf>
    <xf numFmtId="0" fontId="21" fillId="11" borderId="1" xfId="0" applyNumberFormat="1" applyFont="1" applyFill="1" applyBorder="1" applyAlignment="1">
      <alignment vertical="top" wrapText="1"/>
    </xf>
    <xf numFmtId="0" fontId="22" fillId="11" borderId="1" xfId="0" applyNumberFormat="1" applyFont="1" applyFill="1" applyBorder="1" applyAlignment="1">
      <alignment horizontal="center" vertical="center" wrapText="1"/>
    </xf>
    <xf numFmtId="4" fontId="27" fillId="11" borderId="1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4" fontId="18" fillId="0" borderId="8" xfId="0" applyNumberFormat="1" applyFont="1" applyFill="1" applyBorder="1" applyAlignment="1">
      <alignment horizontal="center" vertical="center" wrapText="1"/>
    </xf>
    <xf numFmtId="37" fontId="19" fillId="0" borderId="1" xfId="0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 wrapText="1"/>
    </xf>
    <xf numFmtId="4" fontId="18" fillId="0" borderId="9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4" fontId="18" fillId="0" borderId="8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vertical="center" wrapText="1"/>
    </xf>
    <xf numFmtId="0" fontId="18" fillId="0" borderId="15" xfId="0" applyNumberFormat="1" applyFont="1" applyFill="1" applyBorder="1" applyAlignment="1">
      <alignment vertical="top" wrapText="1"/>
    </xf>
    <xf numFmtId="4" fontId="18" fillId="0" borderId="11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top" wrapText="1"/>
    </xf>
    <xf numFmtId="4" fontId="18" fillId="0" borderId="12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vertical="top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top" wrapText="1"/>
    </xf>
    <xf numFmtId="0" fontId="19" fillId="0" borderId="1" xfId="0" applyNumberFormat="1" applyFont="1" applyFill="1" applyBorder="1" applyAlignment="1">
      <alignment horizontal="center" vertical="top" wrapText="1"/>
    </xf>
    <xf numFmtId="0" fontId="18" fillId="0" borderId="1" xfId="0" applyNumberFormat="1" applyFont="1" applyFill="1" applyBorder="1" applyAlignment="1">
      <alignment horizontal="center" vertical="top" wrapText="1"/>
    </xf>
    <xf numFmtId="37" fontId="18" fillId="0" borderId="8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37" fontId="4" fillId="0" borderId="0" xfId="0" applyFont="1" applyFill="1" applyBorder="1" applyAlignment="1">
      <alignment horizontal="center" vertical="center" wrapText="1"/>
    </xf>
    <xf numFmtId="37" fontId="4" fillId="0" borderId="0" xfId="0" applyFont="1" applyFill="1" applyAlignment="1">
      <alignment horizontal="center" vertical="center" wrapText="1"/>
    </xf>
    <xf numFmtId="37" fontId="10" fillId="0" borderId="0" xfId="0" applyFont="1" applyFill="1"/>
    <xf numFmtId="37" fontId="4" fillId="0" borderId="14" xfId="0" applyFont="1" applyFill="1" applyBorder="1" applyAlignment="1">
      <alignment horizontal="center" vertical="center" wrapText="1"/>
    </xf>
    <xf numFmtId="37" fontId="4" fillId="0" borderId="1" xfId="0" applyFont="1" applyFill="1" applyBorder="1" applyAlignment="1">
      <alignment horizontal="center"/>
    </xf>
    <xf numFmtId="0" fontId="17" fillId="9" borderId="1" xfId="0" applyNumberFormat="1" applyFont="1" applyFill="1" applyBorder="1" applyAlignment="1">
      <alignment vertical="top" wrapText="1"/>
    </xf>
    <xf numFmtId="0" fontId="23" fillId="9" borderId="1" xfId="0" applyNumberFormat="1" applyFont="1" applyFill="1" applyBorder="1" applyAlignment="1">
      <alignment horizontal="center" vertical="top" wrapText="1"/>
    </xf>
    <xf numFmtId="0" fontId="24" fillId="9" borderId="1" xfId="0" applyNumberFormat="1" applyFont="1" applyFill="1" applyBorder="1" applyAlignment="1">
      <alignment vertical="top" wrapText="1"/>
    </xf>
    <xf numFmtId="0" fontId="16" fillId="9" borderId="1" xfId="0" applyNumberFormat="1" applyFont="1" applyFill="1" applyBorder="1" applyAlignment="1">
      <alignment horizontal="center" vertical="top" wrapText="1"/>
    </xf>
    <xf numFmtId="0" fontId="17" fillId="9" borderId="1" xfId="0" applyNumberFormat="1" applyFont="1" applyFill="1" applyBorder="1" applyAlignment="1">
      <alignment horizontal="center" vertical="top" wrapText="1"/>
    </xf>
    <xf numFmtId="37" fontId="4" fillId="0" borderId="0" xfId="0" applyFont="1" applyFill="1" applyAlignment="1">
      <alignment horizontal="center" vertical="center" wrapText="1"/>
    </xf>
    <xf numFmtId="0" fontId="19" fillId="8" borderId="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" fontId="16" fillId="9" borderId="1" xfId="0" applyNumberFormat="1" applyFont="1" applyFill="1" applyBorder="1" applyAlignment="1">
      <alignment horizontal="center" vertical="center" wrapText="1"/>
    </xf>
    <xf numFmtId="0" fontId="18" fillId="9" borderId="1" xfId="0" applyNumberFormat="1" applyFont="1" applyFill="1" applyBorder="1" applyAlignment="1">
      <alignment horizontal="center" vertical="top" wrapText="1"/>
    </xf>
    <xf numFmtId="0" fontId="19" fillId="12" borderId="1" xfId="0" applyNumberFormat="1" applyFont="1" applyFill="1" applyBorder="1" applyAlignment="1">
      <alignment horizontal="center" vertical="center" wrapText="1"/>
    </xf>
    <xf numFmtId="0" fontId="19" fillId="12" borderId="8" xfId="0" applyNumberFormat="1" applyFont="1" applyFill="1" applyBorder="1" applyAlignment="1">
      <alignment horizontal="center" vertical="center" wrapText="1"/>
    </xf>
    <xf numFmtId="0" fontId="19" fillId="12" borderId="9" xfId="0" applyNumberFormat="1" applyFont="1" applyFill="1" applyBorder="1" applyAlignment="1">
      <alignment horizontal="center" vertical="center" wrapText="1"/>
    </xf>
    <xf numFmtId="4" fontId="18" fillId="12" borderId="9" xfId="0" applyNumberFormat="1" applyFont="1" applyFill="1" applyBorder="1" applyAlignment="1">
      <alignment horizontal="center" vertical="center" wrapText="1"/>
    </xf>
    <xf numFmtId="0" fontId="18" fillId="12" borderId="9" xfId="0" applyNumberFormat="1" applyFont="1" applyFill="1" applyBorder="1" applyAlignment="1">
      <alignment horizontal="center" vertical="center" wrapText="1"/>
    </xf>
    <xf numFmtId="0" fontId="16" fillId="3" borderId="4" xfId="0" applyNumberFormat="1" applyFont="1" applyFill="1" applyBorder="1" applyAlignment="1">
      <alignment horizontal="center" vertical="center" wrapText="1"/>
    </xf>
    <xf numFmtId="37" fontId="4" fillId="0" borderId="14" xfId="0" applyFont="1" applyFill="1" applyBorder="1" applyAlignment="1">
      <alignment horizontal="center" vertical="center" wrapText="1"/>
    </xf>
    <xf numFmtId="37" fontId="4" fillId="0" borderId="0" xfId="0" applyFont="1" applyFill="1" applyAlignment="1">
      <alignment horizontal="center" vertical="center" wrapText="1"/>
    </xf>
    <xf numFmtId="0" fontId="20" fillId="10" borderId="7" xfId="0" applyNumberFormat="1" applyFont="1" applyFill="1" applyBorder="1" applyAlignment="1">
      <alignment horizontal="center" wrapText="1"/>
    </xf>
    <xf numFmtId="0" fontId="20" fillId="10" borderId="3" xfId="0" applyNumberFormat="1" applyFont="1" applyFill="1" applyBorder="1" applyAlignment="1">
      <alignment horizontal="center" wrapText="1"/>
    </xf>
    <xf numFmtId="0" fontId="20" fillId="10" borderId="16" xfId="0" applyNumberFormat="1" applyFont="1" applyFill="1" applyBorder="1" applyAlignment="1">
      <alignment horizontal="center" wrapText="1"/>
    </xf>
    <xf numFmtId="0" fontId="20" fillId="10" borderId="15" xfId="0" applyNumberFormat="1" applyFont="1" applyFill="1" applyBorder="1" applyAlignment="1">
      <alignment horizontal="center" wrapText="1"/>
    </xf>
    <xf numFmtId="0" fontId="20" fillId="10" borderId="4" xfId="0" applyNumberFormat="1" applyFont="1" applyFill="1" applyBorder="1" applyAlignment="1">
      <alignment horizontal="center" wrapText="1"/>
    </xf>
    <xf numFmtId="0" fontId="20" fillId="10" borderId="13" xfId="0" applyNumberFormat="1" applyFont="1" applyFill="1" applyBorder="1" applyAlignment="1">
      <alignment horizontal="center" wrapText="1"/>
    </xf>
  </cellXfs>
  <cellStyles count="26">
    <cellStyle name="A3 297 x 420 mm" xfId="1"/>
    <cellStyle name="Comma 2" xfId="2"/>
    <cellStyle name="Comma 2 2" xfId="3"/>
    <cellStyle name="Comma 2 2 2" xfId="25"/>
    <cellStyle name="Comma 2 3" xfId="24"/>
    <cellStyle name="Comma 3" xfId="4"/>
    <cellStyle name="Date" xfId="5"/>
    <cellStyle name="Deviant" xfId="6"/>
    <cellStyle name="Factor" xfId="7"/>
    <cellStyle name="Heading" xfId="8"/>
    <cellStyle name="Multiple" xfId="9"/>
    <cellStyle name="Normal" xfId="0" builtinId="0"/>
    <cellStyle name="Normal 2" xfId="10"/>
    <cellStyle name="Normal 2 2" xfId="11"/>
    <cellStyle name="Normal 3" xfId="12"/>
    <cellStyle name="Normal 3 2" xfId="13"/>
    <cellStyle name="Normal 4" xfId="14"/>
    <cellStyle name="Normal 5" xfId="15"/>
    <cellStyle name="Normal_SHEET" xfId="16"/>
    <cellStyle name="Percent (0)" xfId="17"/>
    <cellStyle name="Percent (0) 2" xfId="18"/>
    <cellStyle name="Percent 2" xfId="19"/>
    <cellStyle name="Percent 2 2" xfId="20"/>
    <cellStyle name="Tickmark" xfId="21"/>
    <cellStyle name="Work in progress" xfId="22"/>
    <cellStyle name="Year" xfId="2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  <color rgb="FF3CB1B4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</xdr:row>
      <xdr:rowOff>0</xdr:rowOff>
    </xdr:from>
    <xdr:to>
      <xdr:col>8</xdr:col>
      <xdr:colOff>600075</xdr:colOff>
      <xdr:row>4</xdr:row>
      <xdr:rowOff>0</xdr:rowOff>
    </xdr:to>
    <xdr:sp macro="[2]!Sheet1.PrevediEngleski" textlink="">
      <xdr:nvSpPr>
        <xdr:cNvPr id="2049" name="Rectangle 2"/>
        <xdr:cNvSpPr>
          <a:spLocks noChangeArrowheads="1"/>
        </xdr:cNvSpPr>
      </xdr:nvSpPr>
      <xdr:spPr bwMode="auto">
        <a:xfrm>
          <a:off x="4743450" y="466725"/>
          <a:ext cx="590550" cy="1619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Finansijski%20izvestaji%2031.12.2005.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o.djokic/Local%20Settings/Temporary%20Internet%20Files/Content.Outlook/XU0ZFTN9/FS_BS&amp;IS%20-%20Elektr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У"/>
      <sheetName val="БС"/>
      <sheetName val="ПромНаКап"/>
      <sheetName val="кешфлоу"/>
      <sheetName val="порези"/>
      <sheetName val="Ос"/>
      <sheetName val="ПП"/>
      <sheetName val="трМатеријала"/>
      <sheetName val="TrZarada"/>
      <sheetName val="OstaliPoslRash!"/>
      <sheetName val="ФП"/>
      <sheetName val="ФР"/>
      <sheetName val="ОП"/>
      <sheetName val="ОР"/>
      <sheetName val="zalihe"/>
      <sheetName val="Potraziv!"/>
      <sheetName val="got"/>
      <sheetName val="ИВ"/>
      <sheetName val="ДК"/>
      <sheetName val="ОбИзПосл"/>
      <sheetName val="ПВР"/>
      <sheetName val="Повезана!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BU"/>
      <sheetName val="BS"/>
      <sheetName val="finan"/>
      <sheetName val="kap"/>
      <sheetName val="BSI"/>
      <sheetName val="IS"/>
      <sheetName val="kapob"/>
      <sheetName val="FS_BS&amp;IS - Elektrane"/>
    </sheetNames>
    <definedNames>
      <definedName name="Sheet1.PrevediEngleski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2:I27"/>
  <sheetViews>
    <sheetView workbookViewId="0">
      <selection activeCell="A4" sqref="A4"/>
    </sheetView>
  </sheetViews>
  <sheetFormatPr defaultRowHeight="11.25" x14ac:dyDescent="0.2"/>
  <cols>
    <col min="1" max="1" width="18" style="14" bestFit="1" customWidth="1"/>
    <col min="2" max="2" width="1.28515625" style="14" customWidth="1"/>
    <col min="3" max="3" width="12.85546875" style="14" customWidth="1"/>
    <col min="4" max="4" width="7.85546875" style="14" customWidth="1"/>
    <col min="5" max="5" width="1.85546875" style="14" customWidth="1"/>
    <col min="6" max="6" width="12.7109375" style="14" bestFit="1" customWidth="1"/>
    <col min="7" max="7" width="6.7109375" style="14" bestFit="1" customWidth="1"/>
    <col min="8" max="8" width="9.7109375" style="14" bestFit="1" customWidth="1"/>
    <col min="9" max="16384" width="9.140625" style="14"/>
  </cols>
  <sheetData>
    <row r="2" spans="1:9" ht="12.75" x14ac:dyDescent="0.2">
      <c r="A2" s="13"/>
      <c r="I2" s="14" t="s">
        <v>17</v>
      </c>
    </row>
    <row r="3" spans="1:9" ht="12.75" x14ac:dyDescent="0.2">
      <c r="A3" s="13" t="s">
        <v>18</v>
      </c>
      <c r="C3" s="15" t="s">
        <v>19</v>
      </c>
      <c r="D3" s="15" t="s">
        <v>20</v>
      </c>
      <c r="E3" s="16"/>
      <c r="F3" s="15" t="s">
        <v>19</v>
      </c>
      <c r="G3" s="15" t="s">
        <v>20</v>
      </c>
    </row>
    <row r="4" spans="1:9" ht="12.75" x14ac:dyDescent="0.25">
      <c r="A4" s="17" t="s">
        <v>21</v>
      </c>
      <c r="C4" s="18" t="s">
        <v>22</v>
      </c>
      <c r="D4" s="18" t="s">
        <v>23</v>
      </c>
      <c r="F4" s="18" t="s">
        <v>24</v>
      </c>
      <c r="G4" s="18" t="s">
        <v>23</v>
      </c>
    </row>
    <row r="5" spans="1:9" ht="12.75" x14ac:dyDescent="0.25">
      <c r="A5" s="17" t="s">
        <v>25</v>
      </c>
      <c r="C5" s="18" t="s">
        <v>22</v>
      </c>
      <c r="D5" s="18" t="s">
        <v>26</v>
      </c>
      <c r="F5" s="19" t="s">
        <v>24</v>
      </c>
      <c r="G5" s="18" t="s">
        <v>26</v>
      </c>
    </row>
    <row r="6" spans="1:9" ht="9" customHeight="1" x14ac:dyDescent="0.2"/>
    <row r="7" spans="1:9" ht="12.75" x14ac:dyDescent="0.25">
      <c r="A7" s="17" t="s">
        <v>27</v>
      </c>
      <c r="C7" s="19" t="s">
        <v>28</v>
      </c>
      <c r="D7" s="18" t="s">
        <v>23</v>
      </c>
      <c r="F7" s="19" t="s">
        <v>28</v>
      </c>
      <c r="G7" s="18" t="s">
        <v>26</v>
      </c>
    </row>
    <row r="8" spans="1:9" x14ac:dyDescent="0.2">
      <c r="A8" s="20"/>
    </row>
    <row r="9" spans="1:9" ht="12.75" x14ac:dyDescent="0.25">
      <c r="A9" s="17" t="s">
        <v>29</v>
      </c>
      <c r="C9" s="14" t="s">
        <v>30</v>
      </c>
      <c r="D9" s="18" t="s">
        <v>23</v>
      </c>
      <c r="G9" s="18"/>
    </row>
    <row r="10" spans="1:9" ht="12.75" x14ac:dyDescent="0.25">
      <c r="C10" s="14" t="s">
        <v>31</v>
      </c>
      <c r="D10" s="18" t="s">
        <v>23</v>
      </c>
    </row>
    <row r="12" spans="1:9" x14ac:dyDescent="0.2">
      <c r="A12" s="17" t="s">
        <v>32</v>
      </c>
      <c r="C12" s="14" t="s">
        <v>33</v>
      </c>
    </row>
    <row r="25" spans="6:9" ht="12" x14ac:dyDescent="0.2">
      <c r="F25" s="21"/>
      <c r="G25" s="21"/>
      <c r="H25" s="21"/>
      <c r="I25" s="22"/>
    </row>
    <row r="26" spans="6:9" ht="12" x14ac:dyDescent="0.2">
      <c r="F26" s="23"/>
      <c r="G26" s="23"/>
      <c r="H26" s="23"/>
      <c r="I26" s="24"/>
    </row>
    <row r="27" spans="6:9" x14ac:dyDescent="0.2">
      <c r="F27" s="23"/>
      <c r="G27" s="23"/>
      <c r="H27" s="23"/>
      <c r="I27" s="22"/>
    </row>
  </sheetData>
  <phoneticPr fontId="1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2"/>
  <sheetViews>
    <sheetView workbookViewId="0">
      <selection activeCell="B30" sqref="B30"/>
    </sheetView>
  </sheetViews>
  <sheetFormatPr defaultRowHeight="12.75" x14ac:dyDescent="0.2"/>
  <cols>
    <col min="1" max="1" width="49.5703125" style="6" bestFit="1" customWidth="1"/>
    <col min="2" max="7" width="10.140625" style="6" bestFit="1" customWidth="1"/>
    <col min="8" max="16384" width="9.140625" style="6"/>
  </cols>
  <sheetData>
    <row r="1" spans="1:7" ht="13.5" thickBot="1" x14ac:dyDescent="0.25">
      <c r="A1" s="3"/>
      <c r="B1" s="3" t="e">
        <f>CY_Year_Income_Statement</f>
        <v>#REF!</v>
      </c>
      <c r="C1" s="3" t="e">
        <f>PY_Year_Income_Statement</f>
        <v>#REF!</v>
      </c>
      <c r="D1" s="3" t="e">
        <f>PY2_Year_Income_Statement</f>
        <v>#REF!</v>
      </c>
      <c r="E1" s="3" t="e">
        <f>PY3_Year_Income_Statement</f>
        <v>#REF!</v>
      </c>
      <c r="F1" s="3" t="e">
        <f>PY4_Year_Income_Statement</f>
        <v>#REF!</v>
      </c>
      <c r="G1" s="3" t="e">
        <f>PY5_Year_Income_Statement</f>
        <v>#REF!</v>
      </c>
    </row>
    <row r="2" spans="1:7" x14ac:dyDescent="0.2">
      <c r="A2" s="1" t="s">
        <v>0</v>
      </c>
      <c r="B2" s="5" t="e">
        <f>-CY_Net_Revenue</f>
        <v>#REF!</v>
      </c>
      <c r="C2" s="5" t="e">
        <f>-PY_Net_Revenue</f>
        <v>#REF!</v>
      </c>
      <c r="D2" s="5" t="e">
        <f>-PY2_Net_Revenue</f>
        <v>#REF!</v>
      </c>
      <c r="E2" s="5" t="e">
        <f>-PY3_Net_Revenue</f>
        <v>#REF!</v>
      </c>
      <c r="F2" s="5" t="e">
        <f>-PY4_Net_Revenue</f>
        <v>#REF!</v>
      </c>
      <c r="G2" s="5" t="e">
        <f>-PY5_Net_Revenue</f>
        <v>#REF!</v>
      </c>
    </row>
    <row r="3" spans="1:7" x14ac:dyDescent="0.2">
      <c r="A3" s="1" t="s">
        <v>1</v>
      </c>
      <c r="B3" s="5" t="e">
        <f>CY_Cost_of_Sales</f>
        <v>#REF!</v>
      </c>
      <c r="C3" s="5" t="e">
        <f>PY_Cost_of_Sales</f>
        <v>#REF!</v>
      </c>
      <c r="D3" s="5" t="e">
        <f>PY2_Cost_of_Sales</f>
        <v>#REF!</v>
      </c>
      <c r="E3" s="5" t="e">
        <f>PY3_Cost_of_Sales</f>
        <v>#REF!</v>
      </c>
      <c r="F3" s="5" t="e">
        <f>PY4_Cost_of_Sales</f>
        <v>#REF!</v>
      </c>
      <c r="G3" s="5" t="e">
        <f>PY5_Cost_of_Sales</f>
        <v>#REF!</v>
      </c>
    </row>
    <row r="4" spans="1:7" ht="13.5" thickBot="1" x14ac:dyDescent="0.25">
      <c r="A4" s="3"/>
      <c r="B4" s="3" t="e">
        <f t="shared" ref="B4:G4" si="0">B1</f>
        <v>#REF!</v>
      </c>
      <c r="C4" s="3" t="e">
        <f t="shared" si="0"/>
        <v>#REF!</v>
      </c>
      <c r="D4" s="3" t="e">
        <f t="shared" si="0"/>
        <v>#REF!</v>
      </c>
      <c r="E4" s="3" t="e">
        <f t="shared" si="0"/>
        <v>#REF!</v>
      </c>
      <c r="F4" s="3" t="e">
        <f t="shared" si="0"/>
        <v>#REF!</v>
      </c>
      <c r="G4" s="3" t="e">
        <f t="shared" si="0"/>
        <v>#REF!</v>
      </c>
    </row>
    <row r="5" spans="1:7" ht="15.75" x14ac:dyDescent="0.25">
      <c r="A5" s="4" t="s">
        <v>9</v>
      </c>
      <c r="B5" s="2" t="e">
        <f>-CY_Gross_Profit</f>
        <v>#REF!</v>
      </c>
      <c r="C5" s="2" t="e">
        <f>-PY_Gross_Profit</f>
        <v>#REF!</v>
      </c>
      <c r="D5" s="2" t="e">
        <f>-PY2_Gross_Profit</f>
        <v>#REF!</v>
      </c>
      <c r="E5" s="2" t="e">
        <f>-PY3_Gross_Profit</f>
        <v>#REF!</v>
      </c>
      <c r="F5" s="2" t="e">
        <f>-PY4_Gross_Profit</f>
        <v>#REF!</v>
      </c>
      <c r="G5" s="2" t="e">
        <f>-PY5_Gross_Profit</f>
        <v>#REF!</v>
      </c>
    </row>
    <row r="6" spans="1:7" x14ac:dyDescent="0.2">
      <c r="A6" s="1" t="s">
        <v>2</v>
      </c>
      <c r="B6" s="5" t="e">
        <f>CY_Administration</f>
        <v>#REF!</v>
      </c>
      <c r="C6" s="5" t="e">
        <f>PY_Administration</f>
        <v>#REF!</v>
      </c>
      <c r="D6" s="5" t="e">
        <f>PY2_Administration</f>
        <v>#REF!</v>
      </c>
      <c r="E6" s="5" t="e">
        <f>PY3_Administration</f>
        <v>#REF!</v>
      </c>
      <c r="F6" s="5" t="e">
        <f>PY4_Administration</f>
        <v>#REF!</v>
      </c>
      <c r="G6" s="5" t="e">
        <f>PY5_Administration</f>
        <v>#REF!</v>
      </c>
    </row>
    <row r="7" spans="1:7" x14ac:dyDescent="0.2">
      <c r="A7" s="1" t="s">
        <v>3</v>
      </c>
      <c r="B7" s="5" t="e">
        <f>CY_Selling</f>
        <v>#REF!</v>
      </c>
      <c r="C7" s="5" t="e">
        <f>PY_Selling</f>
        <v>#REF!</v>
      </c>
      <c r="D7" s="5" t="e">
        <f>PY2_Selling</f>
        <v>#REF!</v>
      </c>
      <c r="E7" s="5" t="e">
        <f>PY3_Selling</f>
        <v>#REF!</v>
      </c>
      <c r="F7" s="5" t="e">
        <f>PY4_Selling</f>
        <v>#REF!</v>
      </c>
      <c r="G7" s="5" t="e">
        <f>PY5_Selling</f>
        <v>#REF!</v>
      </c>
    </row>
    <row r="8" spans="1:7" x14ac:dyDescent="0.2">
      <c r="A8" s="1" t="s">
        <v>4</v>
      </c>
      <c r="B8" s="5" t="e">
        <f>CY_Other</f>
        <v>#REF!</v>
      </c>
      <c r="C8" s="5" t="e">
        <f>PY_Other_Exp</f>
        <v>#REF!</v>
      </c>
      <c r="D8" s="5" t="e">
        <f>PY2_Other_Exp.</f>
        <v>#REF!</v>
      </c>
      <c r="E8" s="5" t="e">
        <f>PY3_Other_Exp.</f>
        <v>#REF!</v>
      </c>
      <c r="F8" s="5" t="e">
        <f>PY4_Other_Exp.</f>
        <v>#REF!</v>
      </c>
      <c r="G8" s="5" t="e">
        <f>PY5_Other_Exp.</f>
        <v>#REF!</v>
      </c>
    </row>
    <row r="9" spans="1:7" x14ac:dyDescent="0.2">
      <c r="A9" s="1" t="s">
        <v>5</v>
      </c>
      <c r="B9" s="5" t="e">
        <f>CY_Depreciation</f>
        <v>#REF!</v>
      </c>
      <c r="C9" s="5" t="e">
        <f>PY_Depreciation</f>
        <v>#REF!</v>
      </c>
      <c r="D9" s="5" t="e">
        <f>PY2_Depreciation</f>
        <v>#REF!</v>
      </c>
      <c r="E9" s="5" t="e">
        <f>PY3_Depreciation</f>
        <v>#REF!</v>
      </c>
      <c r="F9" s="5" t="e">
        <f>PY4_Depreciation</f>
        <v>#REF!</v>
      </c>
      <c r="G9" s="5" t="e">
        <f>PY5_Depreciation</f>
        <v>#REF!</v>
      </c>
    </row>
    <row r="10" spans="1:7" ht="15.75" x14ac:dyDescent="0.25">
      <c r="A10" s="4" t="s">
        <v>10</v>
      </c>
      <c r="B10" s="2" t="e">
        <f>-CY_Operating_Income</f>
        <v>#REF!</v>
      </c>
      <c r="C10" s="2" t="e">
        <f>-PY_Operating_Inc</f>
        <v>#REF!</v>
      </c>
      <c r="D10" s="2" t="e">
        <f>-PY2_Operating_Inc</f>
        <v>#REF!</v>
      </c>
      <c r="E10" s="2" t="e">
        <f>-PY3_Operating_Inc</f>
        <v>#REF!</v>
      </c>
      <c r="F10" s="2" t="e">
        <f>-PY4_Operating_Inc</f>
        <v>#REF!</v>
      </c>
      <c r="G10" s="2" t="e">
        <f>-PY5_Operating_Inc</f>
        <v>#REF!</v>
      </c>
    </row>
    <row r="11" spans="1:7" x14ac:dyDescent="0.2">
      <c r="A11" s="1" t="s">
        <v>6</v>
      </c>
      <c r="B11" s="5" t="e">
        <f>CY_Interest_Expense</f>
        <v>#REF!</v>
      </c>
      <c r="C11" s="5" t="e">
        <f>PY_Interest_Expense</f>
        <v>#REF!</v>
      </c>
      <c r="D11" s="5" t="e">
        <f>PY2_Interest_Expense</f>
        <v>#REF!</v>
      </c>
      <c r="E11" s="5" t="e">
        <f>PY3_Interest_Expense</f>
        <v>#REF!</v>
      </c>
      <c r="F11" s="5" t="e">
        <f>PY4_Interest_Expense</f>
        <v>#REF!</v>
      </c>
      <c r="G11" s="5" t="e">
        <f>PY5_Interest_Expense</f>
        <v>#REF!</v>
      </c>
    </row>
    <row r="12" spans="1:7" ht="15.75" x14ac:dyDescent="0.25">
      <c r="A12" s="4" t="s">
        <v>11</v>
      </c>
      <c r="B12" s="2" t="e">
        <f>-CY_Inc_Bef_Tax</f>
        <v>#REF!</v>
      </c>
      <c r="C12" s="2" t="e">
        <f>-PY_Inc_Bef_Tax</f>
        <v>#REF!</v>
      </c>
      <c r="D12" s="2" t="e">
        <f>-PY2_Inc_Bef_Tax</f>
        <v>#REF!</v>
      </c>
      <c r="E12" s="2" t="e">
        <f>-PY3_Inc_Bef_Tax</f>
        <v>#REF!</v>
      </c>
      <c r="F12" s="2" t="e">
        <f>-PY4_Inc_Bef_Tax</f>
        <v>#REF!</v>
      </c>
      <c r="G12" s="2" t="e">
        <f>-PY5_Inc_Bef_Tax</f>
        <v>#REF!</v>
      </c>
    </row>
    <row r="13" spans="1:7" x14ac:dyDescent="0.2">
      <c r="A13" s="1" t="s">
        <v>7</v>
      </c>
      <c r="B13" s="5" t="e">
        <f>CY_Taxes</f>
        <v>#REF!</v>
      </c>
      <c r="C13" s="5" t="e">
        <f>PY_Taxes</f>
        <v>#REF!</v>
      </c>
      <c r="D13" s="5" t="e">
        <f>PY2_Taxes</f>
        <v>#REF!</v>
      </c>
      <c r="E13" s="5" t="e">
        <f>PY3_Taxes</f>
        <v>#REF!</v>
      </c>
      <c r="F13" s="5" t="e">
        <f>PY4_Taxes</f>
        <v>#REF!</v>
      </c>
      <c r="G13" s="5" t="e">
        <f>PY5_Taxes</f>
        <v>#REF!</v>
      </c>
    </row>
    <row r="14" spans="1:7" ht="13.5" thickBot="1" x14ac:dyDescent="0.25">
      <c r="A14" s="3"/>
      <c r="B14" s="8" t="e">
        <f t="shared" ref="B14:G14" si="1">B4</f>
        <v>#REF!</v>
      </c>
      <c r="C14" s="8" t="e">
        <f t="shared" si="1"/>
        <v>#REF!</v>
      </c>
      <c r="D14" s="8" t="e">
        <f t="shared" si="1"/>
        <v>#REF!</v>
      </c>
      <c r="E14" s="8" t="e">
        <f t="shared" si="1"/>
        <v>#REF!</v>
      </c>
      <c r="F14" s="8" t="e">
        <f t="shared" si="1"/>
        <v>#REF!</v>
      </c>
      <c r="G14" s="8" t="e">
        <f t="shared" si="1"/>
        <v>#REF!</v>
      </c>
    </row>
    <row r="15" spans="1:7" ht="15.75" x14ac:dyDescent="0.25">
      <c r="A15" s="4" t="s">
        <v>14</v>
      </c>
      <c r="B15" s="9" t="e">
        <f>-CY_INC_AFT_TAX</f>
        <v>#REF!</v>
      </c>
      <c r="C15" s="9" t="e">
        <f>-PY_INC_AFT_TAX</f>
        <v>#REF!</v>
      </c>
      <c r="D15" s="9" t="e">
        <f>-PY2_INC_AFT_TAX</f>
        <v>#REF!</v>
      </c>
      <c r="E15" s="9" t="e">
        <f>-PY3_INC_AFT_TAX</f>
        <v>#REF!</v>
      </c>
      <c r="F15" s="9" t="e">
        <f>-PY4_INC_AFT_TAX</f>
        <v>#REF!</v>
      </c>
      <c r="G15" s="9" t="e">
        <f>-PY5_INC_AFT_TAX</f>
        <v>#REF!</v>
      </c>
    </row>
    <row r="16" spans="1:7" x14ac:dyDescent="0.2">
      <c r="A16" s="1" t="s">
        <v>12</v>
      </c>
      <c r="B16" s="7" t="e">
        <f>CY_Disc._Ops.</f>
        <v>#REF!</v>
      </c>
      <c r="C16" s="7" t="e">
        <f>PY_Disc._Ops.</f>
        <v>#REF!</v>
      </c>
      <c r="D16" s="7" t="e">
        <f>PY2_Disc._Ops.</f>
        <v>#REF!</v>
      </c>
      <c r="E16" s="7" t="e">
        <f>PY3_Disc._Ops.</f>
        <v>#REF!</v>
      </c>
      <c r="F16" s="7" t="e">
        <f>PY4_Disc._Ops.</f>
        <v>#REF!</v>
      </c>
      <c r="G16" s="7" t="e">
        <f>PY5_Disc._Ops.</f>
        <v>#REF!</v>
      </c>
    </row>
    <row r="17" spans="1:7" ht="15.75" x14ac:dyDescent="0.25">
      <c r="A17" s="4" t="s">
        <v>15</v>
      </c>
      <c r="B17" s="10" t="e">
        <f t="shared" ref="B17:G17" si="2">B15-B16</f>
        <v>#REF!</v>
      </c>
      <c r="C17" s="10" t="e">
        <f t="shared" si="2"/>
        <v>#REF!</v>
      </c>
      <c r="D17" s="10" t="e">
        <f t="shared" si="2"/>
        <v>#REF!</v>
      </c>
      <c r="E17" s="10" t="e">
        <f t="shared" si="2"/>
        <v>#REF!</v>
      </c>
      <c r="F17" s="10" t="e">
        <f t="shared" si="2"/>
        <v>#REF!</v>
      </c>
      <c r="G17" s="10" t="e">
        <f t="shared" si="2"/>
        <v>#REF!</v>
      </c>
    </row>
    <row r="18" spans="1:7" x14ac:dyDescent="0.2">
      <c r="A18" s="6" t="s">
        <v>13</v>
      </c>
      <c r="B18" s="5" t="e">
        <f>CY_Extraord.</f>
        <v>#REF!</v>
      </c>
      <c r="C18" s="5" t="e">
        <f>PY_Extraord.</f>
        <v>#REF!</v>
      </c>
      <c r="D18" s="5" t="e">
        <f>PY2_Extraord.</f>
        <v>#REF!</v>
      </c>
      <c r="E18" s="5" t="e">
        <f>PY3_Extraord.</f>
        <v>#REF!</v>
      </c>
      <c r="F18" s="5" t="e">
        <f>PY4_Extraord.</f>
        <v>#REF!</v>
      </c>
      <c r="G18" s="5" t="e">
        <f>PY5_Extraord.</f>
        <v>#REF!</v>
      </c>
    </row>
    <row r="19" spans="1:7" ht="16.5" thickBot="1" x14ac:dyDescent="0.3">
      <c r="A19" s="4" t="s">
        <v>8</v>
      </c>
      <c r="B19" s="11" t="e">
        <f t="shared" ref="B19:G19" si="3">B17-B18</f>
        <v>#REF!</v>
      </c>
      <c r="C19" s="11" t="e">
        <f t="shared" si="3"/>
        <v>#REF!</v>
      </c>
      <c r="D19" s="11" t="e">
        <f t="shared" si="3"/>
        <v>#REF!</v>
      </c>
      <c r="E19" s="11" t="e">
        <f t="shared" si="3"/>
        <v>#REF!</v>
      </c>
      <c r="F19" s="11" t="e">
        <f t="shared" si="3"/>
        <v>#REF!</v>
      </c>
      <c r="G19" s="11" t="e">
        <f t="shared" si="3"/>
        <v>#REF!</v>
      </c>
    </row>
    <row r="20" spans="1:7" ht="13.5" thickTop="1" x14ac:dyDescent="0.2"/>
    <row r="22" spans="1:7" x14ac:dyDescent="0.2">
      <c r="A22" s="6" t="s">
        <v>16</v>
      </c>
      <c r="B22" s="12" t="e">
        <f>#REF!</f>
        <v>#REF!</v>
      </c>
      <c r="C22" s="12" t="e">
        <f>#REF!</f>
        <v>#REF!</v>
      </c>
      <c r="D22" s="12" t="e">
        <f>#REF!</f>
        <v>#REF!</v>
      </c>
      <c r="E22" s="12" t="e">
        <f>#REF!</f>
        <v>#REF!</v>
      </c>
      <c r="F22" s="12" t="e">
        <f>#REF!</f>
        <v>#REF!</v>
      </c>
      <c r="G22" s="12" t="e">
        <f>#REF!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0" zoomScale="91" zoomScaleNormal="91" workbookViewId="0">
      <selection activeCell="D6" sqref="D6"/>
    </sheetView>
  </sheetViews>
  <sheetFormatPr defaultRowHeight="12.75" x14ac:dyDescent="0.2"/>
  <cols>
    <col min="1" max="1" width="9.7109375" customWidth="1"/>
    <col min="2" max="3" width="16.28515625" customWidth="1"/>
    <col min="4" max="4" width="21" style="28" customWidth="1"/>
    <col min="5" max="5" width="18.42578125" style="29" customWidth="1"/>
    <col min="6" max="6" width="22.42578125" customWidth="1"/>
  </cols>
  <sheetData>
    <row r="1" spans="1:9" s="30" customFormat="1" ht="41.25" customHeight="1" x14ac:dyDescent="0.2">
      <c r="A1" s="123" t="s">
        <v>128</v>
      </c>
      <c r="B1" s="123"/>
      <c r="C1" s="123"/>
      <c r="D1" s="123"/>
      <c r="E1" s="123"/>
      <c r="F1" s="123"/>
    </row>
    <row r="2" spans="1:9" s="30" customFormat="1" ht="85.5" customHeight="1" x14ac:dyDescent="0.2">
      <c r="A2" s="25" t="s">
        <v>37</v>
      </c>
      <c r="B2" s="25" t="s">
        <v>58</v>
      </c>
      <c r="C2" s="25" t="s">
        <v>64</v>
      </c>
      <c r="D2" s="27" t="s">
        <v>39</v>
      </c>
      <c r="E2" s="26" t="s">
        <v>56</v>
      </c>
      <c r="F2" s="25" t="s">
        <v>38</v>
      </c>
    </row>
    <row r="3" spans="1:9" s="30" customFormat="1" ht="30.75" customHeight="1" x14ac:dyDescent="0.2">
      <c r="A3" s="25"/>
      <c r="B3" s="46" t="s">
        <v>43</v>
      </c>
      <c r="C3" s="46"/>
      <c r="D3" s="47">
        <f>SUM(D4+D7+D15)</f>
        <v>36408393.93</v>
      </c>
      <c r="E3" s="40"/>
      <c r="F3" s="41"/>
    </row>
    <row r="4" spans="1:9" s="30" customFormat="1" ht="22.5" customHeight="1" x14ac:dyDescent="0.2">
      <c r="A4" s="51"/>
      <c r="B4" s="34" t="s">
        <v>34</v>
      </c>
      <c r="C4" s="48"/>
      <c r="D4" s="49">
        <f>SUM(D5:D6)</f>
        <v>1812499.9900000002</v>
      </c>
      <c r="E4" s="42"/>
      <c r="F4" s="43"/>
    </row>
    <row r="5" spans="1:9" s="105" customFormat="1" ht="116.25" customHeight="1" x14ac:dyDescent="0.2">
      <c r="A5" s="100">
        <v>1</v>
      </c>
      <c r="B5" s="100" t="s">
        <v>110</v>
      </c>
      <c r="C5" s="100" t="s">
        <v>111</v>
      </c>
      <c r="D5" s="102">
        <v>666666.66</v>
      </c>
      <c r="E5" s="100" t="s">
        <v>80</v>
      </c>
      <c r="F5" s="100" t="s">
        <v>103</v>
      </c>
      <c r="G5" s="103"/>
      <c r="H5" s="104"/>
      <c r="I5" s="104"/>
    </row>
    <row r="6" spans="1:9" s="105" customFormat="1" ht="116.25" customHeight="1" x14ac:dyDescent="0.2">
      <c r="A6" s="100">
        <v>2</v>
      </c>
      <c r="B6" s="100" t="s">
        <v>101</v>
      </c>
      <c r="C6" s="100" t="s">
        <v>142</v>
      </c>
      <c r="D6" s="102">
        <v>1145833.33</v>
      </c>
      <c r="E6" s="100" t="s">
        <v>40</v>
      </c>
      <c r="F6" s="100" t="s">
        <v>42</v>
      </c>
      <c r="G6" s="103"/>
      <c r="H6" s="104"/>
      <c r="I6" s="104"/>
    </row>
    <row r="7" spans="1:9" s="105" customFormat="1" ht="116.25" customHeight="1" x14ac:dyDescent="0.2">
      <c r="A7" s="108"/>
      <c r="B7" s="48" t="s">
        <v>35</v>
      </c>
      <c r="C7" s="48"/>
      <c r="D7" s="49">
        <f>SUM(D8:D14)</f>
        <v>14595893.940000001</v>
      </c>
      <c r="E7" s="109"/>
      <c r="F7" s="110"/>
      <c r="G7" s="103"/>
      <c r="H7" s="113"/>
      <c r="I7" s="113"/>
    </row>
    <row r="8" spans="1:9" s="105" customFormat="1" ht="165" customHeight="1" x14ac:dyDescent="0.2">
      <c r="A8" s="83">
        <v>1</v>
      </c>
      <c r="B8" s="53" t="s">
        <v>59</v>
      </c>
      <c r="C8" s="53" t="s">
        <v>60</v>
      </c>
      <c r="D8" s="91">
        <v>5690000</v>
      </c>
      <c r="E8" s="75" t="s">
        <v>134</v>
      </c>
      <c r="F8" s="53" t="s">
        <v>42</v>
      </c>
      <c r="G8" s="106"/>
      <c r="H8" s="103"/>
      <c r="I8" s="103"/>
    </row>
    <row r="9" spans="1:9" s="105" customFormat="1" ht="116.25" customHeight="1" x14ac:dyDescent="0.2">
      <c r="A9" s="100">
        <v>2</v>
      </c>
      <c r="B9" s="100" t="s">
        <v>62</v>
      </c>
      <c r="C9" s="100" t="s">
        <v>63</v>
      </c>
      <c r="D9" s="102">
        <v>3850000</v>
      </c>
      <c r="E9" s="100" t="s">
        <v>135</v>
      </c>
      <c r="F9" s="100" t="s">
        <v>42</v>
      </c>
      <c r="G9" s="124"/>
      <c r="H9" s="125"/>
      <c r="I9" s="125"/>
    </row>
    <row r="10" spans="1:9" s="105" customFormat="1" ht="116.25" customHeight="1" x14ac:dyDescent="0.2">
      <c r="A10" s="100">
        <v>3</v>
      </c>
      <c r="B10" s="100" t="s">
        <v>126</v>
      </c>
      <c r="C10" s="100" t="s">
        <v>130</v>
      </c>
      <c r="D10" s="102">
        <v>1297454.55</v>
      </c>
      <c r="E10" s="100" t="s">
        <v>135</v>
      </c>
      <c r="F10" s="100" t="s">
        <v>116</v>
      </c>
      <c r="G10" s="103"/>
      <c r="H10" s="104"/>
      <c r="I10" s="104"/>
    </row>
    <row r="11" spans="1:9" s="105" customFormat="1" ht="116.25" customHeight="1" x14ac:dyDescent="0.2">
      <c r="A11" s="100">
        <v>4</v>
      </c>
      <c r="B11" s="100" t="s">
        <v>102</v>
      </c>
      <c r="C11" s="100" t="s">
        <v>120</v>
      </c>
      <c r="D11" s="102">
        <v>166666.66</v>
      </c>
      <c r="E11" s="100" t="s">
        <v>80</v>
      </c>
      <c r="F11" s="100" t="s">
        <v>103</v>
      </c>
      <c r="G11" s="103"/>
      <c r="H11" s="104"/>
      <c r="I11" s="104"/>
    </row>
    <row r="12" spans="1:9" s="105" customFormat="1" ht="116.25" customHeight="1" x14ac:dyDescent="0.2">
      <c r="A12" s="100">
        <v>5</v>
      </c>
      <c r="B12" s="100" t="s">
        <v>137</v>
      </c>
      <c r="C12" s="100" t="s">
        <v>115</v>
      </c>
      <c r="D12" s="102">
        <v>1125000</v>
      </c>
      <c r="E12" s="100" t="s">
        <v>49</v>
      </c>
      <c r="F12" s="100" t="s">
        <v>127</v>
      </c>
      <c r="G12" s="103"/>
      <c r="H12" s="104"/>
      <c r="I12" s="104"/>
    </row>
    <row r="13" spans="1:9" s="105" customFormat="1" ht="116.25" customHeight="1" x14ac:dyDescent="0.2">
      <c r="A13" s="52">
        <v>6</v>
      </c>
      <c r="B13" s="100" t="s">
        <v>112</v>
      </c>
      <c r="C13" s="100" t="s">
        <v>113</v>
      </c>
      <c r="D13" s="102">
        <v>1277272.73</v>
      </c>
      <c r="E13" s="100" t="s">
        <v>88</v>
      </c>
      <c r="F13" s="100" t="s">
        <v>42</v>
      </c>
      <c r="G13" s="103"/>
      <c r="H13" s="104"/>
      <c r="I13" s="104"/>
    </row>
    <row r="14" spans="1:9" s="105" customFormat="1" ht="99.75" customHeight="1" x14ac:dyDescent="0.2">
      <c r="A14" s="52">
        <v>7</v>
      </c>
      <c r="B14" s="100" t="s">
        <v>74</v>
      </c>
      <c r="C14" s="100" t="s">
        <v>131</v>
      </c>
      <c r="D14" s="102">
        <v>1189500</v>
      </c>
      <c r="E14" s="100" t="s">
        <v>88</v>
      </c>
      <c r="F14" s="100" t="s">
        <v>127</v>
      </c>
      <c r="G14" s="103"/>
      <c r="H14" s="104"/>
      <c r="I14" s="104"/>
    </row>
    <row r="15" spans="1:9" s="105" customFormat="1" ht="99.75" customHeight="1" x14ac:dyDescent="0.2">
      <c r="A15" s="60"/>
      <c r="B15" s="51" t="s">
        <v>36</v>
      </c>
      <c r="C15" s="51"/>
      <c r="D15" s="116">
        <v>20000000</v>
      </c>
      <c r="E15" s="111"/>
      <c r="F15" s="112"/>
      <c r="G15" s="103"/>
      <c r="H15" s="113"/>
      <c r="I15" s="113"/>
    </row>
    <row r="16" spans="1:9" s="59" customFormat="1" ht="139.5" customHeight="1" x14ac:dyDescent="0.2">
      <c r="A16" s="107">
        <v>1</v>
      </c>
      <c r="B16" s="100" t="s">
        <v>99</v>
      </c>
      <c r="C16" s="100" t="s">
        <v>100</v>
      </c>
      <c r="D16" s="102">
        <v>20000000</v>
      </c>
      <c r="E16" s="100" t="s">
        <v>88</v>
      </c>
      <c r="F16" s="100" t="s">
        <v>42</v>
      </c>
    </row>
    <row r="17" spans="3:6" x14ac:dyDescent="0.2">
      <c r="C17" s="50"/>
      <c r="D17" s="58"/>
      <c r="F17" s="50"/>
    </row>
    <row r="18" spans="3:6" ht="35.25" customHeight="1" x14ac:dyDescent="0.2">
      <c r="E18" t="s">
        <v>54</v>
      </c>
    </row>
    <row r="19" spans="3:6" x14ac:dyDescent="0.2">
      <c r="E19" t="s">
        <v>55</v>
      </c>
    </row>
    <row r="24" spans="3:6" x14ac:dyDescent="0.2">
      <c r="E24"/>
    </row>
  </sheetData>
  <mergeCells count="2">
    <mergeCell ref="A1:F1"/>
    <mergeCell ref="G9:I9"/>
  </mergeCells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34" workbookViewId="0">
      <selection activeCell="D6" sqref="D6"/>
    </sheetView>
  </sheetViews>
  <sheetFormatPr defaultRowHeight="12.75" x14ac:dyDescent="0.2"/>
  <cols>
    <col min="1" max="1" width="12.42578125" customWidth="1"/>
    <col min="2" max="2" width="17.85546875" customWidth="1"/>
    <col min="3" max="3" width="13.7109375" customWidth="1"/>
    <col min="4" max="4" width="21.7109375" customWidth="1"/>
    <col min="5" max="5" width="23.7109375" customWidth="1"/>
  </cols>
  <sheetData>
    <row r="1" spans="1:5" x14ac:dyDescent="0.2">
      <c r="E1" s="50"/>
    </row>
    <row r="2" spans="1:5" x14ac:dyDescent="0.2">
      <c r="A2" s="126" t="s">
        <v>129</v>
      </c>
      <c r="B2" s="127"/>
      <c r="C2" s="127"/>
      <c r="D2" s="127"/>
      <c r="E2" s="128"/>
    </row>
    <row r="3" spans="1:5" x14ac:dyDescent="0.2">
      <c r="A3" s="129"/>
      <c r="B3" s="130"/>
      <c r="C3" s="130"/>
      <c r="D3" s="130"/>
      <c r="E3" s="131"/>
    </row>
    <row r="4" spans="1:5" ht="25.5" x14ac:dyDescent="0.2">
      <c r="A4" s="44" t="s">
        <v>37</v>
      </c>
      <c r="B4" s="31" t="s">
        <v>58</v>
      </c>
      <c r="C4" s="31" t="s">
        <v>65</v>
      </c>
      <c r="D4" s="32" t="s">
        <v>44</v>
      </c>
      <c r="E4" s="44" t="s">
        <v>56</v>
      </c>
    </row>
    <row r="5" spans="1:5" ht="15.75" x14ac:dyDescent="0.2">
      <c r="A5" s="44"/>
      <c r="B5" s="35" t="s">
        <v>43</v>
      </c>
      <c r="C5" s="35"/>
      <c r="D5" s="36">
        <f>SUM(D6+D24)</f>
        <v>16297736.490000002</v>
      </c>
      <c r="E5" s="114"/>
    </row>
    <row r="6" spans="1:5" ht="15.75" x14ac:dyDescent="0.2">
      <c r="A6" s="33"/>
      <c r="B6" s="37" t="s">
        <v>34</v>
      </c>
      <c r="C6" s="37"/>
      <c r="D6" s="38">
        <f>SUM(D7:D23)</f>
        <v>4291666.6000000006</v>
      </c>
      <c r="E6" s="39"/>
    </row>
    <row r="7" spans="1:5" ht="30" customHeight="1" x14ac:dyDescent="0.2">
      <c r="A7" s="53">
        <v>1</v>
      </c>
      <c r="B7" s="53" t="s">
        <v>45</v>
      </c>
      <c r="C7" s="53"/>
      <c r="D7" s="54">
        <v>166666.66</v>
      </c>
      <c r="E7" s="97" t="s">
        <v>49</v>
      </c>
    </row>
    <row r="8" spans="1:5" ht="38.25" x14ac:dyDescent="0.2">
      <c r="A8" s="67">
        <v>2</v>
      </c>
      <c r="B8" s="64" t="s">
        <v>53</v>
      </c>
      <c r="C8" s="65"/>
      <c r="D8" s="66">
        <v>125000</v>
      </c>
      <c r="E8" s="98" t="s">
        <v>41</v>
      </c>
    </row>
    <row r="9" spans="1:5" ht="25.5" x14ac:dyDescent="0.2">
      <c r="A9" s="67">
        <v>3</v>
      </c>
      <c r="B9" s="53" t="s">
        <v>66</v>
      </c>
      <c r="C9" s="53"/>
      <c r="D9" s="54">
        <v>108333.33</v>
      </c>
      <c r="E9" s="97" t="s">
        <v>40</v>
      </c>
    </row>
    <row r="10" spans="1:5" ht="49.5" customHeight="1" x14ac:dyDescent="0.2">
      <c r="A10" s="67">
        <v>4</v>
      </c>
      <c r="B10" s="65" t="s">
        <v>67</v>
      </c>
      <c r="C10" s="55"/>
      <c r="D10" s="90">
        <v>208333.33</v>
      </c>
      <c r="E10" s="95" t="s">
        <v>134</v>
      </c>
    </row>
    <row r="11" spans="1:5" ht="38.25" x14ac:dyDescent="0.2">
      <c r="A11" s="67">
        <v>5</v>
      </c>
      <c r="B11" s="53" t="s">
        <v>107</v>
      </c>
      <c r="C11" s="53"/>
      <c r="D11" s="91">
        <v>208333.33</v>
      </c>
      <c r="E11" s="96" t="s">
        <v>92</v>
      </c>
    </row>
    <row r="12" spans="1:5" ht="25.5" x14ac:dyDescent="0.2">
      <c r="A12" s="67">
        <v>6</v>
      </c>
      <c r="B12" s="57" t="s">
        <v>46</v>
      </c>
      <c r="C12" s="57"/>
      <c r="D12" s="66">
        <v>250000</v>
      </c>
      <c r="E12" s="66" t="s">
        <v>47</v>
      </c>
    </row>
    <row r="13" spans="1:5" ht="25.5" x14ac:dyDescent="0.2">
      <c r="A13" s="67">
        <v>7</v>
      </c>
      <c r="B13" s="68" t="s">
        <v>48</v>
      </c>
      <c r="C13" s="68"/>
      <c r="D13" s="56">
        <v>166666.66</v>
      </c>
      <c r="E13" s="56" t="s">
        <v>49</v>
      </c>
    </row>
    <row r="14" spans="1:5" ht="87.75" customHeight="1" x14ac:dyDescent="0.2">
      <c r="A14" s="67">
        <v>8</v>
      </c>
      <c r="B14" s="53" t="s">
        <v>70</v>
      </c>
      <c r="C14" s="53"/>
      <c r="D14" s="56">
        <v>166666.66</v>
      </c>
      <c r="E14" s="56" t="s">
        <v>41</v>
      </c>
    </row>
    <row r="15" spans="1:5" ht="25.5" x14ac:dyDescent="0.2">
      <c r="A15" s="67">
        <v>9</v>
      </c>
      <c r="B15" s="53" t="s">
        <v>68</v>
      </c>
      <c r="C15" s="53"/>
      <c r="D15" s="54">
        <v>833333.33</v>
      </c>
      <c r="E15" s="54" t="s">
        <v>41</v>
      </c>
    </row>
    <row r="16" spans="1:5" ht="38.25" x14ac:dyDescent="0.2">
      <c r="A16" s="67">
        <v>10</v>
      </c>
      <c r="B16" s="57" t="s">
        <v>109</v>
      </c>
      <c r="C16" s="53"/>
      <c r="D16" s="69">
        <v>166666.66</v>
      </c>
      <c r="E16" s="54" t="s">
        <v>88</v>
      </c>
    </row>
    <row r="17" spans="1:5" ht="56.25" customHeight="1" x14ac:dyDescent="0.2">
      <c r="A17" s="67">
        <v>11</v>
      </c>
      <c r="B17" s="57" t="s">
        <v>122</v>
      </c>
      <c r="C17" s="53"/>
      <c r="D17" s="69">
        <v>83333.33</v>
      </c>
      <c r="E17" s="54" t="s">
        <v>49</v>
      </c>
    </row>
    <row r="18" spans="1:5" ht="117.75" customHeight="1" x14ac:dyDescent="0.2">
      <c r="A18" s="67">
        <v>12</v>
      </c>
      <c r="B18" s="70" t="s">
        <v>121</v>
      </c>
      <c r="C18" s="53"/>
      <c r="D18" s="56">
        <v>808333.33</v>
      </c>
      <c r="E18" s="56" t="s">
        <v>41</v>
      </c>
    </row>
    <row r="19" spans="1:5" ht="25.5" customHeight="1" x14ac:dyDescent="0.2">
      <c r="A19" s="67">
        <v>13</v>
      </c>
      <c r="B19" s="53" t="s">
        <v>69</v>
      </c>
      <c r="C19" s="53"/>
      <c r="D19" s="54">
        <v>166666.66</v>
      </c>
      <c r="E19" s="54" t="s">
        <v>49</v>
      </c>
    </row>
    <row r="20" spans="1:5" ht="25.5" x14ac:dyDescent="0.2">
      <c r="A20" s="67">
        <v>14</v>
      </c>
      <c r="B20" s="64" t="s">
        <v>90</v>
      </c>
      <c r="C20" s="53"/>
      <c r="D20" s="54">
        <v>83333.33</v>
      </c>
      <c r="E20" s="54" t="s">
        <v>49</v>
      </c>
    </row>
    <row r="21" spans="1:5" ht="51" x14ac:dyDescent="0.2">
      <c r="A21" s="67">
        <v>15</v>
      </c>
      <c r="B21" s="52" t="s">
        <v>106</v>
      </c>
      <c r="C21" s="53"/>
      <c r="D21" s="54">
        <v>291666.65999999997</v>
      </c>
      <c r="E21" s="54" t="s">
        <v>49</v>
      </c>
    </row>
    <row r="22" spans="1:5" ht="38.25" x14ac:dyDescent="0.2">
      <c r="A22" s="67">
        <v>16</v>
      </c>
      <c r="B22" s="64" t="s">
        <v>91</v>
      </c>
      <c r="C22" s="53"/>
      <c r="D22" s="54">
        <v>375000</v>
      </c>
      <c r="E22" s="54" t="s">
        <v>49</v>
      </c>
    </row>
    <row r="23" spans="1:5" ht="68.25" customHeight="1" x14ac:dyDescent="0.2">
      <c r="A23" s="67">
        <v>17</v>
      </c>
      <c r="B23" s="71" t="s">
        <v>105</v>
      </c>
      <c r="C23" s="65"/>
      <c r="D23" s="66">
        <v>83333.33</v>
      </c>
      <c r="E23" s="56" t="s">
        <v>49</v>
      </c>
    </row>
    <row r="24" spans="1:5" ht="15.75" x14ac:dyDescent="0.2">
      <c r="A24" s="61"/>
      <c r="B24" s="62" t="s">
        <v>35</v>
      </c>
      <c r="C24" s="62"/>
      <c r="D24" s="63">
        <f>SUM(D25:D64)</f>
        <v>12006069.890000002</v>
      </c>
      <c r="E24" s="117"/>
    </row>
    <row r="25" spans="1:5" ht="25.5" x14ac:dyDescent="0.2">
      <c r="A25" s="53">
        <v>1</v>
      </c>
      <c r="B25" s="65" t="s">
        <v>75</v>
      </c>
      <c r="C25" s="65"/>
      <c r="D25" s="66">
        <v>300000</v>
      </c>
      <c r="E25" s="71" t="s">
        <v>52</v>
      </c>
    </row>
    <row r="26" spans="1:5" ht="25.5" x14ac:dyDescent="0.2">
      <c r="A26" s="53">
        <v>2</v>
      </c>
      <c r="B26" s="53" t="s">
        <v>140</v>
      </c>
      <c r="C26" s="53"/>
      <c r="D26" s="54">
        <v>100000</v>
      </c>
      <c r="E26" s="52" t="s">
        <v>49</v>
      </c>
    </row>
    <row r="27" spans="1:5" x14ac:dyDescent="0.2">
      <c r="A27" s="53">
        <v>3</v>
      </c>
      <c r="B27" s="57" t="s">
        <v>76</v>
      </c>
      <c r="C27" s="57"/>
      <c r="D27" s="69">
        <v>50000</v>
      </c>
      <c r="E27" s="64" t="s">
        <v>49</v>
      </c>
    </row>
    <row r="28" spans="1:5" ht="25.5" x14ac:dyDescent="0.2">
      <c r="A28" s="53">
        <v>4</v>
      </c>
      <c r="B28" s="53" t="s">
        <v>77</v>
      </c>
      <c r="C28" s="53"/>
      <c r="D28" s="54">
        <v>250000</v>
      </c>
      <c r="E28" s="52" t="s">
        <v>41</v>
      </c>
    </row>
    <row r="29" spans="1:5" x14ac:dyDescent="0.2">
      <c r="A29" s="53">
        <v>5</v>
      </c>
      <c r="B29" s="57" t="s">
        <v>71</v>
      </c>
      <c r="C29" s="57"/>
      <c r="D29" s="69">
        <v>750000</v>
      </c>
      <c r="E29" s="64" t="s">
        <v>88</v>
      </c>
    </row>
    <row r="30" spans="1:5" x14ac:dyDescent="0.2">
      <c r="A30" s="53">
        <v>7</v>
      </c>
      <c r="B30" s="55" t="s">
        <v>123</v>
      </c>
      <c r="C30" s="65"/>
      <c r="D30" s="56">
        <v>33333.33</v>
      </c>
      <c r="E30" s="92" t="s">
        <v>49</v>
      </c>
    </row>
    <row r="31" spans="1:5" ht="38.25" x14ac:dyDescent="0.2">
      <c r="A31" s="45">
        <v>9</v>
      </c>
      <c r="B31" s="53" t="s">
        <v>108</v>
      </c>
      <c r="C31" s="53"/>
      <c r="D31" s="54">
        <v>500000</v>
      </c>
      <c r="E31" s="52" t="s">
        <v>49</v>
      </c>
    </row>
    <row r="32" spans="1:5" ht="50.25" customHeight="1" x14ac:dyDescent="0.2">
      <c r="A32" s="118">
        <v>10</v>
      </c>
      <c r="B32" s="119" t="s">
        <v>139</v>
      </c>
      <c r="C32" s="120"/>
      <c r="D32" s="121">
        <v>880000</v>
      </c>
      <c r="E32" s="122" t="s">
        <v>88</v>
      </c>
    </row>
    <row r="33" spans="1:5" ht="25.5" x14ac:dyDescent="0.2">
      <c r="A33" s="53">
        <v>11</v>
      </c>
      <c r="B33" s="52" t="s">
        <v>132</v>
      </c>
      <c r="C33" s="93"/>
      <c r="D33" s="54">
        <v>104166.66</v>
      </c>
      <c r="E33" s="94" t="s">
        <v>41</v>
      </c>
    </row>
    <row r="34" spans="1:5" ht="51" x14ac:dyDescent="0.2">
      <c r="A34" s="53">
        <v>12</v>
      </c>
      <c r="B34" s="80" t="s">
        <v>133</v>
      </c>
      <c r="C34" s="81"/>
      <c r="D34" s="54">
        <v>104166.66</v>
      </c>
      <c r="E34" s="52" t="s">
        <v>40</v>
      </c>
    </row>
    <row r="35" spans="1:5" ht="51" x14ac:dyDescent="0.2">
      <c r="A35" s="53">
        <v>13</v>
      </c>
      <c r="B35" s="53" t="s">
        <v>72</v>
      </c>
      <c r="C35" s="53"/>
      <c r="D35" s="54">
        <v>600000</v>
      </c>
      <c r="E35" s="99" t="s">
        <v>92</v>
      </c>
    </row>
    <row r="36" spans="1:5" ht="21.75" customHeight="1" x14ac:dyDescent="0.2">
      <c r="A36" s="53">
        <v>14</v>
      </c>
      <c r="B36" s="53" t="s">
        <v>78</v>
      </c>
      <c r="C36" s="70"/>
      <c r="D36" s="72">
        <v>500000</v>
      </c>
      <c r="E36" s="54" t="s">
        <v>88</v>
      </c>
    </row>
    <row r="37" spans="1:5" ht="25.5" x14ac:dyDescent="0.2">
      <c r="A37" s="53">
        <v>15</v>
      </c>
      <c r="B37" s="70" t="s">
        <v>79</v>
      </c>
      <c r="C37" s="70"/>
      <c r="D37" s="72">
        <v>250000</v>
      </c>
      <c r="E37" s="54" t="s">
        <v>88</v>
      </c>
    </row>
    <row r="38" spans="1:5" ht="21" customHeight="1" x14ac:dyDescent="0.2">
      <c r="A38" s="53">
        <v>16</v>
      </c>
      <c r="B38" s="70" t="s">
        <v>50</v>
      </c>
      <c r="C38" s="70"/>
      <c r="D38" s="72">
        <v>333333.33</v>
      </c>
      <c r="E38" s="54" t="s">
        <v>88</v>
      </c>
    </row>
    <row r="39" spans="1:5" ht="89.25" customHeight="1" x14ac:dyDescent="0.2">
      <c r="A39" s="53">
        <v>17</v>
      </c>
      <c r="B39" s="70" t="s">
        <v>119</v>
      </c>
      <c r="C39" s="70"/>
      <c r="D39" s="72">
        <v>375000</v>
      </c>
      <c r="E39" s="72" t="s">
        <v>40</v>
      </c>
    </row>
    <row r="40" spans="1:5" ht="38.25" x14ac:dyDescent="0.2">
      <c r="A40" s="53">
        <v>18</v>
      </c>
      <c r="B40" s="57" t="s">
        <v>85</v>
      </c>
      <c r="C40" s="53"/>
      <c r="D40" s="73">
        <v>150000</v>
      </c>
      <c r="E40" s="73" t="s">
        <v>41</v>
      </c>
    </row>
    <row r="41" spans="1:5" ht="38.25" x14ac:dyDescent="0.2">
      <c r="A41" s="53">
        <v>19</v>
      </c>
      <c r="B41" s="74" t="s">
        <v>51</v>
      </c>
      <c r="C41" s="75"/>
      <c r="D41" s="76">
        <v>83333.33</v>
      </c>
      <c r="E41" s="76" t="s">
        <v>41</v>
      </c>
    </row>
    <row r="42" spans="1:5" ht="38.25" x14ac:dyDescent="0.2">
      <c r="A42" s="53">
        <v>20</v>
      </c>
      <c r="B42" s="70" t="s">
        <v>73</v>
      </c>
      <c r="C42" s="53"/>
      <c r="D42" s="76">
        <v>83333.33</v>
      </c>
      <c r="E42" s="76" t="s">
        <v>41</v>
      </c>
    </row>
    <row r="43" spans="1:5" ht="47.25" customHeight="1" x14ac:dyDescent="0.2">
      <c r="A43" s="53">
        <v>21</v>
      </c>
      <c r="B43" s="115" t="s">
        <v>138</v>
      </c>
      <c r="C43" s="70"/>
      <c r="D43" s="72">
        <v>83333.33</v>
      </c>
      <c r="E43" s="89" t="s">
        <v>49</v>
      </c>
    </row>
    <row r="44" spans="1:5" ht="25.5" x14ac:dyDescent="0.2">
      <c r="A44" s="53">
        <v>22</v>
      </c>
      <c r="B44" s="77" t="s">
        <v>84</v>
      </c>
      <c r="C44" s="70"/>
      <c r="D44" s="72">
        <v>666666.66</v>
      </c>
      <c r="E44" s="72" t="s">
        <v>41</v>
      </c>
    </row>
    <row r="45" spans="1:5" ht="51" x14ac:dyDescent="0.2">
      <c r="A45" s="53">
        <v>23</v>
      </c>
      <c r="B45" s="70" t="s">
        <v>81</v>
      </c>
      <c r="C45" s="70"/>
      <c r="D45" s="72">
        <v>750000</v>
      </c>
      <c r="E45" s="72" t="s">
        <v>41</v>
      </c>
    </row>
    <row r="46" spans="1:5" ht="38.25" x14ac:dyDescent="0.2">
      <c r="A46" s="53">
        <v>24</v>
      </c>
      <c r="B46" s="70" t="s">
        <v>82</v>
      </c>
      <c r="C46" s="70"/>
      <c r="D46" s="72">
        <v>500000</v>
      </c>
      <c r="E46" s="72" t="s">
        <v>41</v>
      </c>
    </row>
    <row r="47" spans="1:5" ht="51" x14ac:dyDescent="0.2">
      <c r="A47" s="53">
        <v>25</v>
      </c>
      <c r="B47" s="53" t="s">
        <v>83</v>
      </c>
      <c r="C47" s="53"/>
      <c r="D47" s="72">
        <v>208333</v>
      </c>
      <c r="E47" s="72" t="s">
        <v>88</v>
      </c>
    </row>
    <row r="48" spans="1:5" ht="25.5" x14ac:dyDescent="0.2">
      <c r="A48" s="53">
        <v>26</v>
      </c>
      <c r="B48" s="53" t="s">
        <v>86</v>
      </c>
      <c r="C48" s="53"/>
      <c r="D48" s="72">
        <v>166666.66</v>
      </c>
      <c r="E48" s="72" t="s">
        <v>40</v>
      </c>
    </row>
    <row r="49" spans="1:5" ht="25.5" x14ac:dyDescent="0.2">
      <c r="A49" s="53">
        <v>27</v>
      </c>
      <c r="B49" s="64" t="s">
        <v>89</v>
      </c>
      <c r="C49" s="78"/>
      <c r="D49" s="79">
        <v>240000</v>
      </c>
      <c r="E49" s="72" t="s">
        <v>41</v>
      </c>
    </row>
    <row r="50" spans="1:5" ht="51" x14ac:dyDescent="0.2">
      <c r="A50" s="53">
        <v>28</v>
      </c>
      <c r="B50" s="80" t="s">
        <v>104</v>
      </c>
      <c r="C50" s="81"/>
      <c r="D50" s="82">
        <v>125000</v>
      </c>
      <c r="E50" s="52" t="s">
        <v>87</v>
      </c>
    </row>
    <row r="51" spans="1:5" ht="38.25" x14ac:dyDescent="0.2">
      <c r="A51" s="83">
        <v>29</v>
      </c>
      <c r="B51" s="52" t="s">
        <v>61</v>
      </c>
      <c r="C51" s="52"/>
      <c r="D51" s="54">
        <v>868873.33</v>
      </c>
      <c r="E51" s="52" t="s">
        <v>41</v>
      </c>
    </row>
    <row r="52" spans="1:5" ht="19.5" customHeight="1" x14ac:dyDescent="0.2">
      <c r="A52" s="83">
        <v>30</v>
      </c>
      <c r="B52" s="52" t="s">
        <v>93</v>
      </c>
      <c r="C52" s="52"/>
      <c r="D52" s="54">
        <v>100000</v>
      </c>
      <c r="E52" s="52" t="s">
        <v>49</v>
      </c>
    </row>
    <row r="53" spans="1:5" ht="129" customHeight="1" x14ac:dyDescent="0.2">
      <c r="A53" s="83">
        <v>31</v>
      </c>
      <c r="B53" s="53" t="s">
        <v>117</v>
      </c>
      <c r="C53" s="53"/>
      <c r="D53" s="54">
        <v>8750</v>
      </c>
      <c r="E53" s="100" t="s">
        <v>80</v>
      </c>
    </row>
    <row r="54" spans="1:5" ht="63.75" x14ac:dyDescent="0.2">
      <c r="A54" s="83">
        <v>32</v>
      </c>
      <c r="B54" s="84" t="s">
        <v>94</v>
      </c>
      <c r="C54" s="84"/>
      <c r="D54" s="79">
        <v>166666.66</v>
      </c>
      <c r="E54" s="100" t="s">
        <v>80</v>
      </c>
    </row>
    <row r="55" spans="1:5" ht="30" customHeight="1" x14ac:dyDescent="0.2">
      <c r="A55" s="83">
        <v>33</v>
      </c>
      <c r="B55" s="53" t="s">
        <v>95</v>
      </c>
      <c r="C55" s="85"/>
      <c r="D55" s="54">
        <v>166666.66</v>
      </c>
      <c r="E55" s="101" t="s">
        <v>49</v>
      </c>
    </row>
    <row r="56" spans="1:5" ht="63.75" x14ac:dyDescent="0.2">
      <c r="A56" s="83">
        <v>34</v>
      </c>
      <c r="B56" s="53" t="s">
        <v>124</v>
      </c>
      <c r="C56" s="53"/>
      <c r="D56" s="54">
        <v>133333.32999999999</v>
      </c>
      <c r="E56" s="100" t="s">
        <v>49</v>
      </c>
    </row>
    <row r="57" spans="1:5" ht="63.75" x14ac:dyDescent="0.2">
      <c r="A57" s="67">
        <v>35</v>
      </c>
      <c r="B57" s="52" t="s">
        <v>97</v>
      </c>
      <c r="C57" s="53"/>
      <c r="D57" s="54">
        <v>2083.33</v>
      </c>
      <c r="E57" s="54" t="s">
        <v>136</v>
      </c>
    </row>
    <row r="58" spans="1:5" ht="38.25" x14ac:dyDescent="0.2">
      <c r="A58" s="67">
        <v>36</v>
      </c>
      <c r="B58" s="52" t="s">
        <v>118</v>
      </c>
      <c r="C58" s="84"/>
      <c r="D58" s="54">
        <v>83333.33</v>
      </c>
      <c r="E58" s="54" t="s">
        <v>49</v>
      </c>
    </row>
    <row r="59" spans="1:5" ht="38.25" x14ac:dyDescent="0.2">
      <c r="A59" s="67">
        <v>37</v>
      </c>
      <c r="B59" s="52" t="s">
        <v>96</v>
      </c>
      <c r="C59" s="53"/>
      <c r="D59" s="54">
        <v>250000</v>
      </c>
      <c r="E59" s="54" t="s">
        <v>49</v>
      </c>
    </row>
    <row r="60" spans="1:5" ht="25.5" x14ac:dyDescent="0.2">
      <c r="A60" s="67">
        <v>38</v>
      </c>
      <c r="B60" s="52" t="s">
        <v>98</v>
      </c>
      <c r="C60" s="53"/>
      <c r="D60" s="54">
        <v>150000</v>
      </c>
      <c r="E60" s="54" t="s">
        <v>88</v>
      </c>
    </row>
    <row r="61" spans="1:5" ht="18.75" customHeight="1" x14ac:dyDescent="0.2">
      <c r="A61" s="75">
        <v>39</v>
      </c>
      <c r="B61" s="86" t="s">
        <v>57</v>
      </c>
      <c r="C61" s="86"/>
      <c r="D61" s="87">
        <v>636363.63</v>
      </c>
      <c r="E61" s="86" t="s">
        <v>40</v>
      </c>
    </row>
    <row r="62" spans="1:5" ht="25.5" x14ac:dyDescent="0.2">
      <c r="A62" s="75">
        <v>40</v>
      </c>
      <c r="B62" s="75" t="s">
        <v>114</v>
      </c>
      <c r="C62" s="75"/>
      <c r="D62" s="88">
        <v>325000</v>
      </c>
      <c r="E62" s="75" t="s">
        <v>49</v>
      </c>
    </row>
    <row r="63" spans="1:5" ht="51" x14ac:dyDescent="0.2">
      <c r="A63" s="75">
        <v>41</v>
      </c>
      <c r="B63" s="75" t="s">
        <v>125</v>
      </c>
      <c r="C63" s="75"/>
      <c r="D63" s="88">
        <v>458333.33</v>
      </c>
      <c r="E63" s="75" t="s">
        <v>49</v>
      </c>
    </row>
    <row r="64" spans="1:5" ht="51" x14ac:dyDescent="0.2">
      <c r="A64" s="75">
        <v>42</v>
      </c>
      <c r="B64" s="75" t="s">
        <v>141</v>
      </c>
      <c r="C64" s="75"/>
      <c r="D64" s="88">
        <v>470000</v>
      </c>
      <c r="E64" s="75" t="s">
        <v>49</v>
      </c>
    </row>
    <row r="66" spans="4:4" x14ac:dyDescent="0.2">
      <c r="D66" t="s">
        <v>54</v>
      </c>
    </row>
    <row r="67" spans="4:4" x14ac:dyDescent="0.2">
      <c r="D67" t="s">
        <v>55</v>
      </c>
    </row>
  </sheetData>
  <mergeCells count="1">
    <mergeCell ref="A2:E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</vt:lpstr>
      <vt:lpstr>Graphs Data</vt:lpstr>
      <vt:lpstr>plan j nabavki</vt:lpstr>
      <vt:lpstr>nabavke na koje se ne pri ZJN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slobodan.milic</dc:creator>
  <cp:lastModifiedBy>Andrea</cp:lastModifiedBy>
  <cp:lastPrinted>2021-12-21T11:13:10Z</cp:lastPrinted>
  <dcterms:created xsi:type="dcterms:W3CDTF">2005-09-12T19:40:18Z</dcterms:created>
  <dcterms:modified xsi:type="dcterms:W3CDTF">2021-12-24T07:52:17Z</dcterms:modified>
</cp:coreProperties>
</file>